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326" windowWidth="25530" windowHeight="12255" tabRatio="938" activeTab="0"/>
  </bookViews>
  <sheets>
    <sheet name="Home Page" sheetId="1" r:id="rId1"/>
    <sheet name="Honey Production - User Input" sheetId="2" r:id="rId2"/>
    <sheet name="Honey Production - Results" sheetId="3" r:id="rId3"/>
    <sheet name="Transport of Honey to Packer" sheetId="4" r:id="rId4"/>
    <sheet name="Packaging - User Input" sheetId="5" r:id="rId5"/>
    <sheet name="Packaging - Results" sheetId="6" r:id="rId6"/>
    <sheet name="Producer results" sheetId="7" state="hidden" r:id="rId7"/>
    <sheet name="Total Packaging Results" sheetId="8" state="hidden" r:id="rId8"/>
    <sheet name="Total results" sheetId="9" r:id="rId9"/>
    <sheet name="General info" sheetId="10" state="hidden" r:id="rId10"/>
    <sheet name="Hive Management" sheetId="11" state="hidden" r:id="rId11"/>
    <sheet name="Extraction" sheetId="12" state="hidden" r:id="rId12"/>
    <sheet name="Packaging" sheetId="13" state="hidden" r:id="rId13"/>
    <sheet name="LCI" sheetId="14" state="hidden" r:id="rId14"/>
    <sheet name="Sheet2" sheetId="15" state="hidden" r:id="rId15"/>
    <sheet name="Sheet1" sheetId="16" state="hidden" r:id="rId16"/>
  </sheets>
  <externalReferences>
    <externalReference r:id="rId19"/>
    <externalReference r:id="rId20"/>
  </externalReferences>
  <definedNames>
    <definedName name="glass">'Packaging - User Input'!$C$56</definedName>
    <definedName name="units" localSheetId="3">'Packaging - User Input'!$D$58</definedName>
  </definedNames>
  <calcPr fullCalcOnLoad="1"/>
</workbook>
</file>

<file path=xl/comments12.xml><?xml version="1.0" encoding="utf-8"?>
<comments xmlns="http://schemas.openxmlformats.org/spreadsheetml/2006/main">
  <authors>
    <author>Author</author>
  </authors>
  <commentList>
    <comment ref="B4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kWh number multiplied with 3.6 resulting in electricity in MJ</t>
        </r>
      </text>
    </comment>
    <comment ref="B5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No of therms multiplied with 2,75 to express Natural gas is m3</t>
        </r>
      </text>
    </comment>
    <comment ref="B6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No of 1,000 cubic feet converted to m3 by factor 
28.3168</t>
        </r>
      </text>
    </comment>
    <comment ref="B11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kWh number multiplied with 3.6 resulting in electricity in MJ</t>
        </r>
      </text>
    </comment>
    <comment ref="B13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No of therms multiplied with 2,75 to express Natural gas is m3</t>
        </r>
      </text>
    </comment>
    <comment ref="B14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No of 1,000 cubic feet converted to m3 by factor 
28.3168</t>
        </r>
      </text>
    </comment>
  </commentList>
</comments>
</file>

<file path=xl/comments13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kWh number multiplied with 3.6 resulting in electricity in MJ</t>
        </r>
      </text>
    </comment>
    <comment ref="B4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No of therms multiplied with 2,75 to express Natural gas is m3</t>
        </r>
      </text>
    </comment>
    <comment ref="B5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No of 1,000 cubic feet converted to m3 by factor 
28.3168</t>
        </r>
      </text>
    </comment>
    <comment ref="A29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1 gallon honey = 12 lb. Internet, several sources
</t>
        </r>
      </text>
    </comment>
    <comment ref="A43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avergage weight 36 lb, assume 10 years, 4 times a year use
</t>
        </r>
      </text>
    </comment>
    <comment ref="A44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average weight 130lb, plastic with steel cage (no info on cage! Available)
Assume 10 years, 4 times a year</t>
        </r>
      </text>
    </comment>
    <comment ref="A45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average weight 128 lb, 10lb pvc inside liner. Assume 10 years, 4 times a year for tote, liner used only once</t>
        </r>
      </text>
    </comment>
    <comment ref="F44" authorId="0">
      <text>
        <r>
          <rPr>
            <b/>
            <sz val="9"/>
            <rFont val="Calibri"/>
            <family val="2"/>
          </rPr>
          <t>Author:</t>
        </r>
        <r>
          <rPr>
            <sz val="9"/>
            <rFont val="Calibri"/>
            <family val="2"/>
          </rPr>
          <t xml:space="preserve">
assumption
</t>
        </r>
      </text>
    </comment>
  </commentList>
</comments>
</file>

<file path=xl/sharedStrings.xml><?xml version="1.0" encoding="utf-8"?>
<sst xmlns="http://schemas.openxmlformats.org/spreadsheetml/2006/main" count="1208" uniqueCount="523">
  <si>
    <t>Bee removal and uncapping</t>
  </si>
  <si>
    <t>Average one-way distance to honey processor/packer</t>
  </si>
  <si>
    <t>Natural gas, processed, at plant</t>
  </si>
  <si>
    <t>Pest control</t>
  </si>
  <si>
    <t>Transportation</t>
  </si>
  <si>
    <t>pesticide unspecified, at regional storehouse</t>
  </si>
  <si>
    <t>cyclohexane, at plant</t>
  </si>
  <si>
    <t>Truck - Flatbed, platform, etc. / 34,000 lb payload - 8a / 2008</t>
  </si>
  <si>
    <t>Medium Heavy-duty Diesel Truck - Class 5/ 16,001-19,500 lbs. GVWR / 2008</t>
  </si>
  <si>
    <t>http://www.biosecurity.govt.nz/pests-diseases/animals/varroa/paper/varroa-treatment-options.htm#4</t>
  </si>
  <si>
    <t>Honey transportion, producer to processor, per kg of honey</t>
  </si>
  <si>
    <t>Honey transport</t>
  </si>
  <si>
    <t>With no-drip lid?</t>
  </si>
  <si>
    <t>paper</t>
  </si>
  <si>
    <t>Re-usable packaging</t>
  </si>
  <si>
    <t>Drum, steel, 55 gallon</t>
  </si>
  <si>
    <t>Lead</t>
  </si>
  <si>
    <t>Truck (single) diesel FAL</t>
  </si>
  <si>
    <t>Gasoline (regular) at refinery</t>
  </si>
  <si>
    <t>General Information</t>
  </si>
  <si>
    <t>Location</t>
  </si>
  <si>
    <t>sucrose (or sugar)</t>
  </si>
  <si>
    <t>Total Emissions in Hive Management</t>
  </si>
  <si>
    <t>Apiguard (thymol)</t>
  </si>
  <si>
    <t>Product name (Active Ingredient)</t>
  </si>
  <si>
    <t>Chemical class</t>
  </si>
  <si>
    <t>essential oil</t>
  </si>
  <si>
    <t>55 gallon</t>
  </si>
  <si>
    <t>Other, please specify</t>
  </si>
  <si>
    <t>275 gallon</t>
  </si>
  <si>
    <t>select  size</t>
  </si>
  <si>
    <t>single unit truck (Gross weight between 8500 and 14000 lbs)</t>
  </si>
  <si>
    <t>Medium Heavy-duty Diesel Truck - Class 6 / 19,501-26,000 lbs. GVWR / 2008</t>
  </si>
  <si>
    <t>Medium Heavy-duty Diesel Truck - Class 6 / 19,501-26,000 lbs. GVWR / 2009</t>
  </si>
  <si>
    <t>Transport, single unit truck (8500 to 14000 pounds in gross weight), diesel powered</t>
  </si>
  <si>
    <t>US LCI and Calculation</t>
  </si>
  <si>
    <t>Phenoxy-compounds from SimaPro</t>
  </si>
  <si>
    <t>Use the same data as Sugar from Sugar beet</t>
  </si>
  <si>
    <t>Brewer's yeast</t>
  </si>
  <si>
    <t>Others</t>
  </si>
  <si>
    <t>"pesticide unspecified"</t>
  </si>
  <si>
    <t>thymol</t>
  </si>
  <si>
    <t>Cyclohexanone, at plant/RER S</t>
  </si>
  <si>
    <t>User Inputs</t>
  </si>
  <si>
    <t>Honey packaging</t>
  </si>
  <si>
    <t>Honey production, per kg of honey</t>
  </si>
  <si>
    <t>Honey packaging, per kg of honey</t>
  </si>
  <si>
    <t>Total per kg of honey</t>
  </si>
  <si>
    <t>synthetic pyrethroid</t>
  </si>
  <si>
    <t>Apitol (cymiazole)</t>
  </si>
  <si>
    <t>amino phenyl thiazolidine derivative</t>
  </si>
  <si>
    <t>Bayvarol(flumethrin)</t>
  </si>
  <si>
    <t>CheckMite+ (coumaphos)</t>
  </si>
  <si>
    <t>organophosphate</t>
  </si>
  <si>
    <t>MPG</t>
  </si>
  <si>
    <t>Energy use</t>
  </si>
  <si>
    <t>unit</t>
  </si>
  <si>
    <t>Sulfur Oxides</t>
  </si>
  <si>
    <t>Data Source</t>
  </si>
  <si>
    <t>Unit</t>
  </si>
  <si>
    <t>g</t>
  </si>
  <si>
    <t>kg</t>
  </si>
  <si>
    <t>Unit converter</t>
  </si>
  <si>
    <t>oz</t>
  </si>
  <si>
    <t>mg</t>
  </si>
  <si>
    <t>pound</t>
  </si>
  <si>
    <t>gallon</t>
  </si>
  <si>
    <t>option factor</t>
  </si>
  <si>
    <t>Hexagonal</t>
  </si>
  <si>
    <t>foil + paper</t>
  </si>
  <si>
    <t>D</t>
  </si>
  <si>
    <t>Honecomb, Small</t>
  </si>
  <si>
    <t>No-drip HDPE?</t>
  </si>
  <si>
    <t>E</t>
  </si>
  <si>
    <t>Bear, Small</t>
  </si>
  <si>
    <t>F</t>
  </si>
  <si>
    <t>Fumidil (or Fumagilin)</t>
  </si>
  <si>
    <t>Apistan strips (fluvalinate) II</t>
  </si>
  <si>
    <t>Lactic acid</t>
  </si>
  <si>
    <t>formic acid, oxalic acid</t>
  </si>
  <si>
    <t>Cyclohexanol</t>
  </si>
  <si>
    <t>Factor</t>
  </si>
  <si>
    <t>Option B</t>
  </si>
  <si>
    <t>In this study, use soybean oil as a surrogate</t>
  </si>
  <si>
    <t>Honeycomb, plastic, 12oz</t>
  </si>
  <si>
    <t>This sheet shows the results of the total greenhouse gas emissions of honey production</t>
  </si>
  <si>
    <t>Paper tote, 275 gallon, inside liner</t>
  </si>
  <si>
    <t>PVC</t>
  </si>
  <si>
    <t>Natural gas, combusted in industrial boiler</t>
  </si>
  <si>
    <t>Natural Gas</t>
  </si>
  <si>
    <t>Gabi Database 2006</t>
  </si>
  <si>
    <t>Diesel Production</t>
  </si>
  <si>
    <t>Yeast paste</t>
  </si>
  <si>
    <t>Soy Bean meal</t>
  </si>
  <si>
    <t>Calculation</t>
  </si>
  <si>
    <t>Ecoinvent (tap water, CH)</t>
  </si>
  <si>
    <t>Average treatment</t>
  </si>
  <si>
    <t>GWP</t>
  </si>
  <si>
    <t>vegetable grease II</t>
  </si>
  <si>
    <t>FILL IN</t>
  </si>
  <si>
    <t>Apiguard (thymol) II</t>
  </si>
  <si>
    <t>PM10</t>
  </si>
  <si>
    <t>PM2.5</t>
  </si>
  <si>
    <t>SOx</t>
  </si>
  <si>
    <t>Medium Heavy-duty Diesel Truck - Class 4/ 14,001-16,000 lbs. GVWR /2009</t>
  </si>
  <si>
    <t>http://pubchem.ncbi.nlm.nih.gov/summary/summary.cgi?cid=1254&amp;loc=ec_rcs</t>
  </si>
  <si>
    <t>Cyclohexanone from GaBi</t>
  </si>
  <si>
    <t>use general "Chemicals organic"</t>
  </si>
  <si>
    <t>Chemicals organic ETH</t>
  </si>
  <si>
    <t>Ecoinvent from SimaPro</t>
  </si>
  <si>
    <t>Truck - Flatbed, platform, etc. / 5,000 lb payload - 4 / 2008</t>
  </si>
  <si>
    <t>GaBi</t>
  </si>
  <si>
    <t>Transport, combination truck (greater than 14000 pounds in gross weight), gasoline powered</t>
  </si>
  <si>
    <t>Ecoinvent (Soybean meal, at oil mills, US)</t>
  </si>
  <si>
    <t>http://www.masterbeekeeper.org/B_files/varroa_jacobsoni.htm</t>
  </si>
  <si>
    <t>glass</t>
  </si>
  <si>
    <t>plastic</t>
  </si>
  <si>
    <t>Single unit truck (Gross weight between 8500 and 14000 lbs)</t>
  </si>
  <si>
    <t>Steel</t>
  </si>
  <si>
    <t>Energy use packaging</t>
  </si>
  <si>
    <t>Economic Allocation (Emissions from Honey Production)</t>
  </si>
  <si>
    <t>annual miles</t>
  </si>
  <si>
    <t>kWh</t>
  </si>
  <si>
    <t>Therms</t>
  </si>
  <si>
    <t>Sugar, from sugar beet, at sugar refinery/CH S</t>
  </si>
  <si>
    <t>Sugar, from sugarcane, at sugar refinery/BR S</t>
  </si>
  <si>
    <t>Electricity mix/US S</t>
  </si>
  <si>
    <t>The results are broken down to the main process operating steps: packaging materials and energy use</t>
  </si>
  <si>
    <t>A. Bottles and/or jars</t>
  </si>
  <si>
    <t>Bottles and/or jars</t>
  </si>
  <si>
    <t>MATERIAL USE</t>
  </si>
  <si>
    <t>TOTAL packaging</t>
  </si>
  <si>
    <t>Select transport information type!</t>
  </si>
  <si>
    <t>number</t>
  </si>
  <si>
    <t>total mass</t>
  </si>
  <si>
    <t>packaging</t>
  </si>
  <si>
    <t>lid</t>
  </si>
  <si>
    <t>material</t>
  </si>
  <si>
    <t>pet/pp</t>
  </si>
  <si>
    <t>ldpe/pp</t>
  </si>
  <si>
    <t>pet/hpde</t>
  </si>
  <si>
    <t>glass/pp</t>
  </si>
  <si>
    <t>glass/lpde</t>
  </si>
  <si>
    <t>hdpe/pp</t>
  </si>
  <si>
    <t>hdpe</t>
  </si>
  <si>
    <t>Different packaging sizes, assumption</t>
  </si>
  <si>
    <t>http://ressources.ciheam.org/om/pdf/b25/99600240.pdf</t>
  </si>
  <si>
    <t>TOTAL MATERIALS</t>
  </si>
  <si>
    <t>ENERGY USE</t>
  </si>
  <si>
    <t>Natural gas</t>
  </si>
  <si>
    <t>pyretroid-compounds, at regional storehouse</t>
  </si>
  <si>
    <t>Organophosphorus-compounds from SimaPro</t>
  </si>
  <si>
    <t>GaBi (Processes\Transport\Road\Truck)</t>
  </si>
  <si>
    <t>Total</t>
  </si>
  <si>
    <t>Hive management</t>
  </si>
  <si>
    <t>Travel</t>
  </si>
  <si>
    <t>Extraction</t>
  </si>
  <si>
    <t>Pollen-substitute Patties</t>
  </si>
  <si>
    <t>No reference</t>
  </si>
  <si>
    <t xml:space="preserve">Corn Syrup </t>
  </si>
  <si>
    <t>Gabi Database 2006 (Glucose via Starch Hydrolysis)</t>
  </si>
  <si>
    <t>CO2 fossil</t>
  </si>
  <si>
    <t>CO2 nonfossil</t>
  </si>
  <si>
    <t>CH4</t>
  </si>
  <si>
    <t>NOx</t>
  </si>
  <si>
    <t>N2O</t>
  </si>
  <si>
    <t>Annual honey production</t>
  </si>
  <si>
    <t>lb/year</t>
  </si>
  <si>
    <t>Company</t>
  </si>
  <si>
    <t>Adress</t>
  </si>
  <si>
    <t>City</t>
  </si>
  <si>
    <t>State</t>
  </si>
  <si>
    <t>Medium Heavy-duty Diesel Truck - Class 3 / 10,001-14,000 lbs. GVWR / 2008</t>
  </si>
  <si>
    <t>Medium Heavy-duty Diesel Truck - Class 3 / 10,001-14,000 lbs. GVWR / 2009</t>
  </si>
  <si>
    <t>Light Heavy-duty Diesel Truck - Class 2b/ 8,501-10,000lbs / 2008</t>
  </si>
  <si>
    <t>Gasoline, combusted in equipment</t>
  </si>
  <si>
    <t>Size of vehicle</t>
  </si>
  <si>
    <t>Medium Heavy-duty Diesel Truck - Class 4/ 14,001-16,000 lbs. GVWR /2008</t>
  </si>
  <si>
    <t>steel</t>
  </si>
  <si>
    <t>B. Re-usable drums or totes</t>
  </si>
  <si>
    <t>Apilife (VAR thymol, eucalyptol, menthol, camphor)</t>
  </si>
  <si>
    <t>Apistan strips (fluvalinate)</t>
  </si>
  <si>
    <t>GaBi (Processes\Energy conversion\Fuel production\Refinery products)</t>
  </si>
  <si>
    <t>Gasoline production</t>
  </si>
  <si>
    <t>Water</t>
  </si>
  <si>
    <t>Propane</t>
  </si>
  <si>
    <t>MJ</t>
  </si>
  <si>
    <t>Feeding</t>
  </si>
  <si>
    <t>sugar syrup</t>
  </si>
  <si>
    <t>treatment for nosema and varroa</t>
  </si>
  <si>
    <t>honey</t>
  </si>
  <si>
    <t>description</t>
  </si>
  <si>
    <t>source</t>
  </si>
  <si>
    <t>Number of bee colonies</t>
  </si>
  <si>
    <t>colonies</t>
  </si>
  <si>
    <t>Ecoinvent database from GaBi software</t>
  </si>
  <si>
    <t>75g per pair http://www.alibaba.com/product-gs/266495679/rubber_household_gloves.html</t>
  </si>
  <si>
    <t>Synthetic rubber, at plant</t>
  </si>
  <si>
    <t>This sheet shows the results of the total greenhouse gas emissions of honey packaging</t>
  </si>
  <si>
    <t>Bee removel and uncapping</t>
  </si>
  <si>
    <t>Gasoline</t>
  </si>
  <si>
    <t>Electricity</t>
  </si>
  <si>
    <t>Per kg of honey</t>
  </si>
  <si>
    <t>Particulates &lt;10</t>
  </si>
  <si>
    <t>Particulates &lt;2.5</t>
  </si>
  <si>
    <t>Polyethylene bottle (PE-LD)</t>
  </si>
  <si>
    <t>EU data</t>
  </si>
  <si>
    <t>avitivit factor "select fuel"</t>
  </si>
  <si>
    <t>C. Other packaging materials</t>
  </si>
  <si>
    <t>Other packaging materials</t>
  </si>
  <si>
    <t>mass in kg</t>
  </si>
  <si>
    <t>Rubber gloves</t>
  </si>
  <si>
    <t>Pairs</t>
  </si>
  <si>
    <t>Latex gloves</t>
  </si>
  <si>
    <t>Bear, Smallest</t>
  </si>
  <si>
    <t>G</t>
  </si>
  <si>
    <t>Option A</t>
  </si>
  <si>
    <t>http://www.sembabees.org/nonnavpages/recipes.html</t>
  </si>
  <si>
    <t>vegetable grease</t>
  </si>
  <si>
    <t>(Lid and Pail are combined at left)</t>
  </si>
  <si>
    <t>O</t>
  </si>
  <si>
    <t>Bear, 6oz</t>
  </si>
  <si>
    <t>Bear,  8oz</t>
  </si>
  <si>
    <t>Bear, 22oz</t>
  </si>
  <si>
    <t>The results are broken down to the main process operating steps: hive management, transport and extaction</t>
  </si>
  <si>
    <t>Greenhouse gas emissions per year (kg)</t>
  </si>
  <si>
    <t>CO2</t>
  </si>
  <si>
    <t>Transport</t>
  </si>
  <si>
    <t>Pollination</t>
  </si>
  <si>
    <t>Honey production</t>
  </si>
  <si>
    <t>packaging, corrugated board, mixed fibre, single wall, at plant</t>
  </si>
  <si>
    <t>PET bottle</t>
  </si>
  <si>
    <t>Polyethylene terephthalate bottle (PET)</t>
  </si>
  <si>
    <t>Plastic Europe</t>
  </si>
  <si>
    <t>Bottle Cap</t>
  </si>
  <si>
    <t>Transport, combination truck (greater than 14000 pounds in gross weight), diesel powered</t>
  </si>
  <si>
    <t>Fuel Consumption for Pollination etc.</t>
  </si>
  <si>
    <t>Pesticides and disease control</t>
  </si>
  <si>
    <t>Brewers yeast</t>
  </si>
  <si>
    <t>number of colonies</t>
  </si>
  <si>
    <t>Amount of honey last year</t>
  </si>
  <si>
    <t>gal</t>
  </si>
  <si>
    <t>Sugar Syrup</t>
  </si>
  <si>
    <t>lb</t>
  </si>
  <si>
    <t>Medium Heavy-duty Diesel Truck - Class 7/ 26,001-33,000 lbs. GVWR / 2008</t>
  </si>
  <si>
    <t>organic acid</t>
  </si>
  <si>
    <t>Mite-Away II (formic acid)</t>
  </si>
  <si>
    <t>per kg honey</t>
  </si>
  <si>
    <t xml:space="preserve">Combination truck (Gross weight greater than 14000 lbs) </t>
  </si>
  <si>
    <t>Combination truck (Gross weight greater than 14000 lbs)</t>
  </si>
  <si>
    <t>Select fuel</t>
  </si>
  <si>
    <t>Intermediate travel</t>
  </si>
  <si>
    <t>diesel use</t>
  </si>
  <si>
    <t>gasoline use</t>
  </si>
  <si>
    <t>miles</t>
  </si>
  <si>
    <t>Material</t>
  </si>
  <si>
    <t>Calculation (assume the density of propane is 0.5077 kg/L)</t>
  </si>
  <si>
    <t>Total gallons fuel per truck type, goto Transport B</t>
  </si>
  <si>
    <t>Total emissions * Income Percentage</t>
  </si>
  <si>
    <t>Emissions per kg honey</t>
  </si>
  <si>
    <t>Emissions per Colony</t>
  </si>
  <si>
    <t>Truck - Flatbed, platform, etc. / 14,000 lb payload - 7 / 2008</t>
  </si>
  <si>
    <t>Select energy source</t>
  </si>
  <si>
    <t>Total Bee removal and uncapping</t>
  </si>
  <si>
    <t>Total Extraction facility</t>
  </si>
  <si>
    <t>m3</t>
  </si>
  <si>
    <t>TOTAL TRANSPORT</t>
  </si>
  <si>
    <t>TOTAL EXTRACTION</t>
  </si>
  <si>
    <t>Bee supplies and other activities</t>
  </si>
  <si>
    <t>SELECT FUEL</t>
  </si>
  <si>
    <t>Please select energy source</t>
  </si>
  <si>
    <t>chemical structure is a bi-cyclo-hexyl-ammonium, produced by Aspergillus fumigatus.</t>
  </si>
  <si>
    <t>Surrogate dataset</t>
  </si>
  <si>
    <t>phenoxy-compounds, at regional storehouse</t>
  </si>
  <si>
    <t>organophosphorus-compounds, at regional storehouse</t>
  </si>
  <si>
    <t>US LCI database</t>
  </si>
  <si>
    <t>Propane at refinery</t>
  </si>
  <si>
    <t>Propane production</t>
  </si>
  <si>
    <t>tkm</t>
  </si>
  <si>
    <t>Formic acid, at plant/RER S</t>
  </si>
  <si>
    <t>Ecoinvent</t>
  </si>
  <si>
    <t>Franklin USA 98</t>
  </si>
  <si>
    <t>corn syrup</t>
  </si>
  <si>
    <t>CO</t>
  </si>
  <si>
    <t>Recipe for 1.5lbs patty: 8oz soy flour; 1oz Brewer's yeast; 10oz granulated sugar; 5 oz hot water</t>
  </si>
  <si>
    <t>Soybean oil, at oil mill/US S</t>
  </si>
  <si>
    <t>Diesel</t>
  </si>
  <si>
    <t>Heating oil</t>
  </si>
  <si>
    <t>Annual yield per colony</t>
  </si>
  <si>
    <t xml:space="preserve">activity factor </t>
  </si>
  <si>
    <t>Apilife (VAR thymol, eucalyptol, menthol, camphor) II</t>
  </si>
  <si>
    <t>GaBi software (data from USLCI)</t>
  </si>
  <si>
    <t>% of Income from Honey Production (vs. other Beekeeping Activities)</t>
  </si>
  <si>
    <t>Travel Distance for Honey</t>
  </si>
  <si>
    <t>Mile</t>
  </si>
  <si>
    <t>Fuel Consumption for Honey</t>
  </si>
  <si>
    <t>Gal</t>
  </si>
  <si>
    <t>Travel Distance for Pollination etc.</t>
  </si>
  <si>
    <t>GENERAL</t>
  </si>
  <si>
    <t>Calculation (assume the density of gasoline is 0.76kg/L)</t>
  </si>
  <si>
    <t>Transport, flatbed, platform, etc 4000lbs</t>
  </si>
  <si>
    <t>GaBi (basic)</t>
  </si>
  <si>
    <t>Nitrous Oxide (N2O)</t>
  </si>
  <si>
    <t>Truck - Flatbed, platform, etc. / 4,000 lb payload - 3 / 2008</t>
  </si>
  <si>
    <t>0.009975 kg diesel (1 lb cargo)</t>
  </si>
  <si>
    <t>Plastic gloves</t>
  </si>
  <si>
    <t>Filter paper sheets</t>
  </si>
  <si>
    <t>lbs</t>
  </si>
  <si>
    <t>Latex  gloves</t>
  </si>
  <si>
    <t>Other materials</t>
  </si>
  <si>
    <t>Total packaging</t>
  </si>
  <si>
    <t>pair</t>
  </si>
  <si>
    <t>Honey packaging, indicate quantity for selected packaging types</t>
  </si>
  <si>
    <t>Other packaging, plastic</t>
  </si>
  <si>
    <t>lpde/pp</t>
  </si>
  <si>
    <t>LDPE bottle</t>
  </si>
  <si>
    <t>Extraction facility</t>
  </si>
  <si>
    <t>Formic acid</t>
  </si>
  <si>
    <t>Carbon Monoxide (CO)</t>
  </si>
  <si>
    <t>Carbon Dioxide, fossil</t>
  </si>
  <si>
    <t>Carbon Dioxide, non-fossil</t>
  </si>
  <si>
    <t>Hydrocarbons</t>
  </si>
  <si>
    <t>Methane</t>
  </si>
  <si>
    <t>Nitrogen Oxides (NOx)</t>
  </si>
  <si>
    <t>Apply for control of the tracheal mite</t>
  </si>
  <si>
    <t>Quantity</t>
  </si>
  <si>
    <t>Units</t>
  </si>
  <si>
    <t>PP</t>
  </si>
  <si>
    <t>C</t>
  </si>
  <si>
    <t>FILL IN AMOUNT USED IN ONE YEAR (LBS)</t>
  </si>
  <si>
    <t>FILL IN QUANTITY USED IN ONE YEAR</t>
  </si>
  <si>
    <t>WITH NO-DRIP LID? (SELECT YES/NO)</t>
  </si>
  <si>
    <t>Yes</t>
  </si>
  <si>
    <t>No</t>
  </si>
  <si>
    <t>Jug</t>
  </si>
  <si>
    <t>HDPE</t>
  </si>
  <si>
    <t>H</t>
  </si>
  <si>
    <t>I</t>
  </si>
  <si>
    <t>Jar</t>
  </si>
  <si>
    <t>J</t>
  </si>
  <si>
    <t>PP or PS</t>
  </si>
  <si>
    <t>K</t>
  </si>
  <si>
    <t>L</t>
  </si>
  <si>
    <t>M</t>
  </si>
  <si>
    <t>N</t>
  </si>
  <si>
    <t>Pail</t>
  </si>
  <si>
    <t>Jug, plastic, 6lb</t>
  </si>
  <si>
    <t>Pail, plastic, 1 gallon</t>
  </si>
  <si>
    <t>Pail, plastic, 5 gallon</t>
  </si>
  <si>
    <t>Honeycomb, plastic, 28oz</t>
  </si>
  <si>
    <t>Packaging materials</t>
  </si>
  <si>
    <t>Shrink wrap</t>
  </si>
  <si>
    <t>PE-low density</t>
  </si>
  <si>
    <t>Cardboard</t>
  </si>
  <si>
    <t>Latex, at plant</t>
  </si>
  <si>
    <t>40g per pair, http://www.alibaba.com/product-gs/300083887/disposable_latex_gloves.html</t>
  </si>
  <si>
    <t>Transport, single unit truck (8500 to 14000 pounds in gross weight), gasoline powered</t>
  </si>
  <si>
    <t>US LCI database and Calculation</t>
  </si>
  <si>
    <t>LPG, combusted in industrial boiler</t>
  </si>
  <si>
    <t>pollen-substitute patties (No pollen)</t>
  </si>
  <si>
    <t>Total (including honey production and other activities)</t>
  </si>
  <si>
    <t>Total Emissions per Unit of Honey</t>
  </si>
  <si>
    <t>per lb honey</t>
  </si>
  <si>
    <t>S-PVC granulate U.S.</t>
  </si>
  <si>
    <t>US</t>
  </si>
  <si>
    <t>8 g per pair, http://phytospring.en.made-in-china.com/offer/VqoJleZuhxUH/Sell-A205-PVC-Gloves-Vinyl-Gloves-.html</t>
  </si>
  <si>
    <t>Paper, wood-containing</t>
  </si>
  <si>
    <t>Total other materials</t>
  </si>
  <si>
    <t>Total other packaging materials</t>
  </si>
  <si>
    <t>Plastic</t>
  </si>
  <si>
    <t>Plastic tote, 275 gallon</t>
  </si>
  <si>
    <t>Paper tote, 275 gallon</t>
  </si>
  <si>
    <t>Total re-usable packaging</t>
  </si>
  <si>
    <t>Polypropylene granulate (PP)</t>
  </si>
  <si>
    <t>HDPE bottle</t>
  </si>
  <si>
    <t>select material</t>
  </si>
  <si>
    <t>Honeycomb, glass, 6oz</t>
  </si>
  <si>
    <t>Honeycomb, glass, 12oz</t>
  </si>
  <si>
    <t>Honeycomb, glass, 20oz</t>
  </si>
  <si>
    <t>Hexagonal, glass, 8oz</t>
  </si>
  <si>
    <t>CheckMite+ (coumaphos) II</t>
  </si>
  <si>
    <t>Please select activity</t>
  </si>
  <si>
    <t>Gallon</t>
  </si>
  <si>
    <t>Jar, glass, 56oz</t>
  </si>
  <si>
    <t>Feed type  (select feed type)</t>
  </si>
  <si>
    <t>FILL IN QUANTITY</t>
  </si>
  <si>
    <t xml:space="preserve">Select feed type and indicate quantiy </t>
  </si>
  <si>
    <t>Select treatment type and indicate quantity</t>
  </si>
  <si>
    <t>Honeycomb, plastic, no drip lid, 12oz</t>
  </si>
  <si>
    <t>Jug, plastic, 5lb</t>
  </si>
  <si>
    <t>With variable packaging, no-drop lid</t>
  </si>
  <si>
    <t>Flexible packaging and no-drip cap??</t>
  </si>
  <si>
    <t>no -drip</t>
  </si>
  <si>
    <t>regular cap</t>
  </si>
  <si>
    <t>RESULTS</t>
  </si>
  <si>
    <t>Packagings</t>
  </si>
  <si>
    <t>Description</t>
  </si>
  <si>
    <t>Volume/Size</t>
  </si>
  <si>
    <t>Pyretroid-compounds from SimaPro</t>
  </si>
  <si>
    <t>Cyclohexane in SimaPro</t>
  </si>
  <si>
    <t>Canola Oil (CA)</t>
  </si>
  <si>
    <t>PE-Gabi</t>
  </si>
  <si>
    <t>Body Weight (g)</t>
  </si>
  <si>
    <t>Lid Material</t>
  </si>
  <si>
    <t>Lid Weight (g)</t>
  </si>
  <si>
    <t>A</t>
  </si>
  <si>
    <t>Bear, Big</t>
  </si>
  <si>
    <t>LDPE</t>
  </si>
  <si>
    <t>HDPE or PP</t>
  </si>
  <si>
    <t>B</t>
  </si>
  <si>
    <t>Honeycomb</t>
  </si>
  <si>
    <t>PETE</t>
  </si>
  <si>
    <t>55 gallon steel drum</t>
  </si>
  <si>
    <t>275 gallon plastic tote</t>
  </si>
  <si>
    <t>272 gallon paper tote</t>
  </si>
  <si>
    <t>drum</t>
  </si>
  <si>
    <t>totes</t>
  </si>
  <si>
    <t>Amount of honey shipped per single trip</t>
  </si>
  <si>
    <t>Transportation to processor/packer</t>
  </si>
  <si>
    <t>Polyethylene bottle (PE-HD)</t>
  </si>
  <si>
    <t>packaging glass, white, at plant</t>
  </si>
  <si>
    <t>steel product manufacturing, average metal working</t>
  </si>
  <si>
    <t>RESULTS SHEET</t>
  </si>
  <si>
    <t>Total gallons fuel, goto Transport C</t>
  </si>
  <si>
    <t>Natural Gas in Therms</t>
  </si>
  <si>
    <t>Natural Gas in 1,000 cubic feet (MCF)</t>
  </si>
  <si>
    <t>MCF</t>
  </si>
  <si>
    <t>Emissions per colony</t>
  </si>
  <si>
    <t>Annual energy use, honey packing (please select energy source)</t>
  </si>
  <si>
    <t>Packaging</t>
  </si>
  <si>
    <t>Glass</t>
  </si>
  <si>
    <t>content in oz</t>
  </si>
  <si>
    <t>weigt in grams</t>
  </si>
  <si>
    <t>weight in grams</t>
  </si>
  <si>
    <t>per oz</t>
  </si>
  <si>
    <t>bottle</t>
  </si>
  <si>
    <t>Average&gt;20 oz</t>
  </si>
  <si>
    <t>average  &lt;20 oz</t>
  </si>
  <si>
    <t>Other packaging, glass</t>
  </si>
  <si>
    <t>Total miles and MPG, goto Transport A</t>
  </si>
  <si>
    <t>OVERALL RESULTS HONEY PRODUCTION AND PACKAGING</t>
  </si>
  <si>
    <t>gal diesel</t>
  </si>
  <si>
    <t>Fill IN QUANTITY</t>
  </si>
  <si>
    <t>Re-useable packaging</t>
  </si>
  <si>
    <t>FILL IN SIZE (OZ)</t>
  </si>
  <si>
    <t>granulated cane sugar mixed with water at a rate of 1 part sugar to 1 part water, by weight</t>
  </si>
  <si>
    <t>http://www.masterbeekeeper.org/calendar/calendar_one.htm#</t>
  </si>
  <si>
    <t>FILL IN (Optional)</t>
  </si>
  <si>
    <t>TOTAL Pest Treatment</t>
  </si>
  <si>
    <t>Total Feed</t>
  </si>
  <si>
    <t>FILL IN  NUMBER OF ITEMS USED IN ONE YEAR</t>
  </si>
  <si>
    <t>FILL IN NUMBER OF DRUMS AND/OR TOTES USED IN ONE YEAR</t>
  </si>
  <si>
    <t>gallons</t>
  </si>
  <si>
    <t>Total annual miles and MPG</t>
  </si>
  <si>
    <t>Total annual gallons of fuel use per truck type</t>
  </si>
  <si>
    <t>Total annual gallons of fuel</t>
  </si>
  <si>
    <t>Total annual miles and MPG (select fuel)</t>
  </si>
  <si>
    <t>Total annual gallons fuel use per truck type (select fuel)</t>
  </si>
  <si>
    <t xml:space="preserve">Total annual gallons fuel use </t>
  </si>
  <si>
    <t>Select the kind of information you will input for travel</t>
  </si>
  <si>
    <t>Beekeeping-Related Transport</t>
  </si>
  <si>
    <t>Feed and Pest/Disease Treatment</t>
  </si>
  <si>
    <t>FILL IN (REQUIRED)</t>
  </si>
  <si>
    <t>Hive Management: Feed</t>
  </si>
  <si>
    <t>Hive Management: Pest Treatment</t>
  </si>
  <si>
    <t>Hive Management Emissions Allocated to Honey</t>
  </si>
  <si>
    <t>Total Hive ManagementEmissions</t>
  </si>
  <si>
    <t>Beekeeping, Total Transport Emissions</t>
  </si>
  <si>
    <t>Transport Emissions Allocated to Honey</t>
  </si>
  <si>
    <t>TOTAL FOR BEEKEEPING SYSTEM</t>
  </si>
  <si>
    <t>TOTAL ALLOCATED TO HONEY PRODUCTION</t>
  </si>
  <si>
    <t>Greenhouse Gase Emissions Per Kilogram of Honey</t>
  </si>
  <si>
    <t>DETAILED RESULTS</t>
  </si>
  <si>
    <t>Per lb of honey</t>
  </si>
  <si>
    <t xml:space="preserve">Processing Results </t>
  </si>
  <si>
    <t>TOTAL ENERGY USE</t>
  </si>
  <si>
    <t>Greenhouse gas emissions per year</t>
  </si>
  <si>
    <t>TOTAL HONEY PACKAGING EMISSIONS</t>
  </si>
  <si>
    <t>Total Emissions per kg of honey</t>
  </si>
  <si>
    <t>Total Emissions per lb of honey</t>
  </si>
  <si>
    <t>This sheet assesses the greenhouse gas emissions from honey transport between producers and honey processors</t>
  </si>
  <si>
    <r>
      <t>Methane (g CH</t>
    </r>
    <r>
      <rPr>
        <vertAlign val="subscript"/>
        <sz val="14"/>
        <color indexed="56"/>
        <rFont val="Calibri"/>
        <family val="2"/>
      </rPr>
      <t>4</t>
    </r>
    <r>
      <rPr>
        <sz val="14"/>
        <color indexed="56"/>
        <rFont val="Calibri"/>
        <family val="2"/>
      </rPr>
      <t>)</t>
    </r>
  </si>
  <si>
    <r>
      <t>Nitrous oxide (g N</t>
    </r>
    <r>
      <rPr>
        <vertAlign val="subscript"/>
        <sz val="14"/>
        <color indexed="56"/>
        <rFont val="Calibri"/>
        <family val="2"/>
      </rPr>
      <t>2</t>
    </r>
    <r>
      <rPr>
        <sz val="14"/>
        <color indexed="56"/>
        <rFont val="Calibri"/>
        <family val="2"/>
      </rPr>
      <t>O)</t>
    </r>
  </si>
  <si>
    <r>
      <t>Total greenhouse gas emissions (kg CO</t>
    </r>
    <r>
      <rPr>
        <vertAlign val="subscript"/>
        <sz val="14"/>
        <color indexed="56"/>
        <rFont val="Calibri"/>
        <family val="2"/>
      </rPr>
      <t>2</t>
    </r>
    <r>
      <rPr>
        <sz val="14"/>
        <color indexed="56"/>
        <rFont val="Calibri"/>
        <family val="2"/>
      </rPr>
      <t>-equivalents)</t>
    </r>
  </si>
  <si>
    <r>
      <t>Carbon dioxide (kg CO</t>
    </r>
    <r>
      <rPr>
        <vertAlign val="subscript"/>
        <sz val="14"/>
        <color indexed="56"/>
        <rFont val="Calibri"/>
        <family val="2"/>
      </rPr>
      <t>2</t>
    </r>
    <r>
      <rPr>
        <sz val="14"/>
        <color indexed="56"/>
        <rFont val="Calibri"/>
        <family val="2"/>
      </rPr>
      <t>)</t>
    </r>
  </si>
  <si>
    <r>
      <t>Total greenhouse gas emissions (kg CO</t>
    </r>
    <r>
      <rPr>
        <vertAlign val="subscript"/>
        <sz val="14"/>
        <color indexed="56"/>
        <rFont val="Calibri"/>
        <family val="2"/>
      </rPr>
      <t>2</t>
    </r>
    <r>
      <rPr>
        <sz val="14"/>
        <color indexed="56"/>
        <rFont val="Calibri"/>
        <family val="2"/>
      </rPr>
      <t>-equivalents per kg honey)</t>
    </r>
  </si>
  <si>
    <t>Are you a honey producer?</t>
  </si>
  <si>
    <t>yes</t>
  </si>
  <si>
    <t>no</t>
  </si>
  <si>
    <t xml:space="preserve">Energy Use for Extraction </t>
  </si>
  <si>
    <t xml:space="preserve">Treatment for nosema and varroa </t>
  </si>
  <si>
    <t>If you are a honey producer, would you like to model the carbon footprint of transporting your honey to the processor?</t>
  </si>
  <si>
    <t>Single unit truck (Gross weight less than 14000 lbs)</t>
  </si>
  <si>
    <t xml:space="preserve"> </t>
  </si>
  <si>
    <t>Are you a honey processor?</t>
  </si>
  <si>
    <t>Address</t>
  </si>
  <si>
    <t>Processing and packaging operations</t>
  </si>
  <si>
    <t>Extraction Facility</t>
  </si>
  <si>
    <t>Natural Gas Therms</t>
  </si>
  <si>
    <t>NG is MCF</t>
  </si>
  <si>
    <t>Truck 3</t>
  </si>
  <si>
    <t>Single unit trucks (Gross weight less than 14000 lbs)</t>
  </si>
  <si>
    <t xml:space="preserve">Combination trucks (Gross weight greater than 14000 lbs) </t>
  </si>
  <si>
    <t>Quantity of honey processed and packaged each year</t>
  </si>
  <si>
    <r>
      <t>Carbon dioxide ( kg CO</t>
    </r>
    <r>
      <rPr>
        <vertAlign val="subscript"/>
        <sz val="14"/>
        <color indexed="56"/>
        <rFont val="Calibri"/>
        <family val="2"/>
      </rPr>
      <t>2</t>
    </r>
    <r>
      <rPr>
        <sz val="14"/>
        <color indexed="56"/>
        <rFont val="Calibri"/>
        <family val="2"/>
      </rPr>
      <t>)</t>
    </r>
  </si>
  <si>
    <r>
      <t>Methane (g CH</t>
    </r>
    <r>
      <rPr>
        <vertAlign val="subscript"/>
        <sz val="14"/>
        <color indexed="56"/>
        <rFont val="Calibri"/>
        <family val="2"/>
      </rPr>
      <t>4</t>
    </r>
    <r>
      <rPr>
        <sz val="14"/>
        <color indexed="56"/>
        <rFont val="Calibri"/>
        <family val="2"/>
      </rPr>
      <t>)</t>
    </r>
  </si>
  <si>
    <r>
      <t>Nitrous oxide (g N</t>
    </r>
    <r>
      <rPr>
        <vertAlign val="subscript"/>
        <sz val="14"/>
        <color indexed="56"/>
        <rFont val="Calibri"/>
        <family val="2"/>
      </rPr>
      <t>2</t>
    </r>
    <r>
      <rPr>
        <sz val="14"/>
        <color indexed="56"/>
        <rFont val="Calibri"/>
        <family val="2"/>
      </rPr>
      <t>O)</t>
    </r>
  </si>
  <si>
    <r>
      <t>Total greenhouse gas emissions (kg CO</t>
    </r>
    <r>
      <rPr>
        <vertAlign val="subscript"/>
        <sz val="14"/>
        <color indexed="56"/>
        <rFont val="Calibri"/>
        <family val="2"/>
      </rPr>
      <t>2</t>
    </r>
    <r>
      <rPr>
        <sz val="14"/>
        <color indexed="56"/>
        <rFont val="Calibri"/>
        <family val="2"/>
      </rPr>
      <t>-equivalents)</t>
    </r>
  </si>
  <si>
    <t>Honey Carbon Footprint Calculator</t>
  </si>
  <si>
    <t>For detailed instructions on how to use this model, please refer to the User Guide.</t>
  </si>
  <si>
    <t>©Regents of the University of California, Davis campus, Agricultural Sustainability Institute</t>
  </si>
  <si>
    <t>Fill in total miles for each type of truck, for multiple trucks of the same class and fuel type, sum annual mileage.</t>
  </si>
  <si>
    <t>Transport, combination truck, diesel powered</t>
  </si>
  <si>
    <t>ton-mile</t>
  </si>
  <si>
    <t>Fuel economy of truck and fuel type (MPG)</t>
  </si>
  <si>
    <t>Option 1: Detailed inputs</t>
  </si>
  <si>
    <t>Option 2: Simplified inputs</t>
  </si>
  <si>
    <t>Option 1: Detailed Inputs</t>
  </si>
  <si>
    <t>Option 2: Simplified Inputs</t>
  </si>
  <si>
    <t>Annual Honey Production</t>
  </si>
  <si>
    <t>INPUT (Select 1 Option)</t>
  </si>
  <si>
    <t>Honey transportion, producer to packer</t>
  </si>
  <si>
    <t>Gloves and Paper Sheets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</si>
</sst>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E+0;[=0]&quot;-&quot;;0.00E+0"/>
    <numFmt numFmtId="166" formatCode="0.000000"/>
    <numFmt numFmtId="167" formatCode="0.00000"/>
    <numFmt numFmtId="168" formatCode="0.000"/>
    <numFmt numFmtId="169" formatCode="0.00000000"/>
    <numFmt numFmtId="170" formatCode="0.0000000"/>
    <numFmt numFmtId="171" formatCode="0.0"/>
    <numFmt numFmtId="172" formatCode="0.000000000"/>
    <numFmt numFmtId="173" formatCode="0.0000000000"/>
    <numFmt numFmtId="174" formatCode="0.00000000000"/>
    <numFmt numFmtId="175" formatCode="0.000%"/>
    <numFmt numFmtId="176" formatCode="0.0%"/>
  </numFmts>
  <fonts count="13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5.15"/>
      <color indexed="8"/>
      <name val="Calibri"/>
      <family val="2"/>
    </font>
    <font>
      <b/>
      <sz val="14"/>
      <color indexed="8"/>
      <name val="Calibri"/>
      <family val="2"/>
    </font>
    <font>
      <sz val="8"/>
      <name val="Verdana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i/>
      <sz val="14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sz val="11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i/>
      <sz val="14"/>
      <color indexed="14"/>
      <name val="Calibri"/>
      <family val="2"/>
    </font>
    <font>
      <b/>
      <i/>
      <sz val="12"/>
      <color indexed="10"/>
      <name val="Calibri"/>
      <family val="2"/>
    </font>
    <font>
      <sz val="11"/>
      <color indexed="14"/>
      <name val="Calibri"/>
      <family val="2"/>
    </font>
    <font>
      <b/>
      <i/>
      <sz val="16"/>
      <color indexed="10"/>
      <name val="Calibri"/>
      <family val="2"/>
    </font>
    <font>
      <u val="single"/>
      <sz val="12"/>
      <color indexed="10"/>
      <name val="Calibri"/>
      <family val="2"/>
    </font>
    <font>
      <i/>
      <sz val="12"/>
      <color indexed="10"/>
      <name val="Calibri"/>
      <family val="2"/>
    </font>
    <font>
      <u val="single"/>
      <sz val="16"/>
      <color indexed="10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sz val="14"/>
      <color indexed="56"/>
      <name val="Calibri"/>
      <family val="2"/>
    </font>
    <font>
      <vertAlign val="subscript"/>
      <sz val="14"/>
      <color indexed="56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0"/>
      <color indexed="10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56"/>
      <name val="Calibri"/>
      <family val="2"/>
    </font>
    <font>
      <i/>
      <sz val="12"/>
      <color indexed="56"/>
      <name val="Calibri"/>
      <family val="2"/>
    </font>
    <font>
      <i/>
      <sz val="11"/>
      <color indexed="56"/>
      <name val="Calibri"/>
      <family val="2"/>
    </font>
    <font>
      <b/>
      <i/>
      <sz val="14"/>
      <color indexed="56"/>
      <name val="Calibri"/>
      <family val="2"/>
    </font>
    <font>
      <b/>
      <sz val="14"/>
      <color indexed="56"/>
      <name val="Calibri"/>
      <family val="2"/>
    </font>
    <font>
      <i/>
      <sz val="14"/>
      <color indexed="56"/>
      <name val="Calibri"/>
      <family val="2"/>
    </font>
    <font>
      <b/>
      <i/>
      <sz val="12"/>
      <color indexed="56"/>
      <name val="Calibri"/>
      <family val="2"/>
    </font>
    <font>
      <b/>
      <i/>
      <sz val="11"/>
      <color indexed="56"/>
      <name val="Calibri"/>
      <family val="2"/>
    </font>
    <font>
      <b/>
      <i/>
      <sz val="18"/>
      <color indexed="56"/>
      <name val="Calibri"/>
      <family val="2"/>
    </font>
    <font>
      <b/>
      <i/>
      <sz val="16"/>
      <color indexed="56"/>
      <name val="Calibri"/>
      <family val="2"/>
    </font>
    <font>
      <sz val="11"/>
      <color indexed="22"/>
      <name val="Calibri"/>
      <family val="2"/>
    </font>
    <font>
      <b/>
      <sz val="20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22"/>
      <name val="Calibri"/>
      <family val="2"/>
    </font>
    <font>
      <u val="single"/>
      <sz val="16"/>
      <color indexed="56"/>
      <name val="Calibri"/>
      <family val="2"/>
    </font>
    <font>
      <sz val="10"/>
      <color indexed="22"/>
      <name val="Arial"/>
      <family val="2"/>
    </font>
    <font>
      <sz val="11"/>
      <color indexed="12"/>
      <name val="Calibri"/>
      <family val="2"/>
    </font>
    <font>
      <b/>
      <sz val="14"/>
      <color indexed="15"/>
      <name val="Calibri"/>
      <family val="2"/>
    </font>
    <font>
      <b/>
      <sz val="15.15"/>
      <color indexed="9"/>
      <name val="Calibri"/>
      <family val="2"/>
    </font>
    <font>
      <sz val="11"/>
      <color indexed="22"/>
      <name val="Arial"/>
      <family val="2"/>
    </font>
    <font>
      <sz val="8"/>
      <name val="Tahoma"/>
      <family val="2"/>
    </font>
    <font>
      <sz val="11"/>
      <color indexed="9"/>
      <name val="Arial Unicode MS"/>
      <family val="0"/>
    </font>
    <font>
      <sz val="11.75"/>
      <color indexed="8"/>
      <name val="Verdana"/>
      <family val="0"/>
    </font>
    <font>
      <sz val="9.25"/>
      <color indexed="8"/>
      <name val="Verdana"/>
      <family val="0"/>
    </font>
    <font>
      <b/>
      <sz val="10"/>
      <color indexed="8"/>
      <name val="Verdana"/>
      <family val="0"/>
    </font>
    <font>
      <b/>
      <vertAlign val="subscript"/>
      <sz val="10"/>
      <color indexed="8"/>
      <name val="Verdana"/>
      <family val="0"/>
    </font>
    <font>
      <sz val="9.2"/>
      <color indexed="8"/>
      <name val="Verdana"/>
      <family val="0"/>
    </font>
    <font>
      <sz val="8.75"/>
      <color indexed="8"/>
      <name val="Verdana"/>
      <family val="0"/>
    </font>
    <font>
      <b/>
      <sz val="10.5"/>
      <color indexed="8"/>
      <name val="Verdana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0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sz val="14"/>
      <color rgb="FF002060"/>
      <name val="Calibri"/>
      <family val="2"/>
    </font>
    <font>
      <i/>
      <sz val="12"/>
      <color rgb="FF002060"/>
      <name val="Calibri"/>
      <family val="2"/>
    </font>
    <font>
      <i/>
      <sz val="11"/>
      <color rgb="FF002060"/>
      <name val="Calibri"/>
      <family val="2"/>
    </font>
    <font>
      <b/>
      <i/>
      <sz val="14"/>
      <color rgb="FF002060"/>
      <name val="Calibri"/>
      <family val="2"/>
    </font>
    <font>
      <b/>
      <sz val="14"/>
      <color rgb="FF002060"/>
      <name val="Calibri"/>
      <family val="2"/>
    </font>
    <font>
      <i/>
      <sz val="14"/>
      <color rgb="FF002060"/>
      <name val="Calibri"/>
      <family val="2"/>
    </font>
    <font>
      <b/>
      <i/>
      <sz val="12"/>
      <color rgb="FF002060"/>
      <name val="Calibri"/>
      <family val="2"/>
    </font>
    <font>
      <b/>
      <i/>
      <sz val="11"/>
      <color rgb="FF002060"/>
      <name val="Calibri"/>
      <family val="2"/>
    </font>
    <font>
      <b/>
      <i/>
      <sz val="18"/>
      <color rgb="FF002060"/>
      <name val="Calibri"/>
      <family val="2"/>
    </font>
    <font>
      <b/>
      <i/>
      <sz val="16"/>
      <color rgb="FF002060"/>
      <name val="Calibri"/>
      <family val="2"/>
    </font>
    <font>
      <sz val="11"/>
      <color theme="0" tint="-0.24997000396251678"/>
      <name val="Calibri"/>
      <family val="2"/>
    </font>
    <font>
      <b/>
      <sz val="20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theme="0" tint="-0.24997000396251678"/>
      <name val="Calibri"/>
      <family val="2"/>
    </font>
    <font>
      <u val="single"/>
      <sz val="16"/>
      <color rgb="FF002060"/>
      <name val="Calibri"/>
      <family val="2"/>
    </font>
    <font>
      <sz val="10"/>
      <color theme="0" tint="-0.24997000396251678"/>
      <name val="Arial"/>
      <family val="2"/>
    </font>
    <font>
      <b/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4"/>
      <color rgb="FF00B0F0"/>
      <name val="Calibri"/>
      <family val="2"/>
    </font>
    <font>
      <i/>
      <sz val="11"/>
      <color rgb="FFFF0000"/>
      <name val="Calibri"/>
      <family val="2"/>
    </font>
    <font>
      <b/>
      <sz val="15.15"/>
      <color theme="0"/>
      <name val="Calibri"/>
      <family val="2"/>
    </font>
    <font>
      <sz val="11"/>
      <color theme="0" tint="-0.24993999302387238"/>
      <name val="Calibri"/>
      <family val="2"/>
    </font>
    <font>
      <sz val="11"/>
      <color theme="0" tint="-0.24997000396251678"/>
      <name val="Arial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7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65" fontId="10" fillId="0" borderId="0">
      <alignment horizontal="center" vertical="center"/>
      <protection/>
    </xf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8" fillId="0" borderId="0" xfId="53" applyAlignment="1" applyProtection="1">
      <alignment/>
      <protection/>
    </xf>
    <xf numFmtId="11" fontId="0" fillId="35" borderId="0" xfId="0" applyNumberFormat="1" applyFill="1" applyAlignment="1">
      <alignment/>
    </xf>
    <xf numFmtId="0" fontId="9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35" borderId="0" xfId="0" applyNumberFormat="1" applyFill="1" applyAlignment="1">
      <alignment/>
    </xf>
    <xf numFmtId="0" fontId="11" fillId="0" borderId="0" xfId="0" applyFont="1" applyAlignment="1">
      <alignment/>
    </xf>
    <xf numFmtId="0" fontId="4" fillId="34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7" fillId="23" borderId="0" xfId="36" applyNumberFormat="1" applyAlignment="1">
      <alignment/>
    </xf>
    <xf numFmtId="0" fontId="20" fillId="0" borderId="0" xfId="0" applyFont="1" applyAlignment="1">
      <alignment/>
    </xf>
    <xf numFmtId="0" fontId="20" fillId="37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39" borderId="0" xfId="0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171" fontId="0" fillId="0" borderId="0" xfId="0" applyNumberFormat="1" applyAlignment="1">
      <alignment/>
    </xf>
    <xf numFmtId="0" fontId="27" fillId="0" borderId="0" xfId="0" applyFont="1" applyAlignment="1">
      <alignment/>
    </xf>
    <xf numFmtId="0" fontId="21" fillId="0" borderId="0" xfId="0" applyFont="1" applyFill="1" applyAlignment="1">
      <alignment/>
    </xf>
    <xf numFmtId="0" fontId="32" fillId="0" borderId="0" xfId="0" applyFont="1" applyAlignment="1">
      <alignment/>
    </xf>
    <xf numFmtId="0" fontId="21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20" fillId="38" borderId="0" xfId="0" applyFont="1" applyFill="1" applyAlignment="1">
      <alignment/>
    </xf>
    <xf numFmtId="0" fontId="29" fillId="38" borderId="0" xfId="0" applyFont="1" applyFill="1" applyAlignment="1">
      <alignment/>
    </xf>
    <xf numFmtId="0" fontId="34" fillId="38" borderId="0" xfId="0" applyFont="1" applyFill="1" applyAlignment="1" applyProtection="1">
      <alignment/>
      <protection/>
    </xf>
    <xf numFmtId="0" fontId="0" fillId="40" borderId="0" xfId="0" applyFill="1" applyAlignment="1" applyProtection="1">
      <alignment/>
      <protection locked="0"/>
    </xf>
    <xf numFmtId="176" fontId="0" fillId="40" borderId="0" xfId="0" applyNumberFormat="1" applyFill="1" applyAlignment="1" applyProtection="1">
      <alignment/>
      <protection locked="0"/>
    </xf>
    <xf numFmtId="0" fontId="0" fillId="41" borderId="0" xfId="0" applyFill="1" applyAlignment="1" applyProtection="1">
      <alignment/>
      <protection locked="0"/>
    </xf>
    <xf numFmtId="0" fontId="14" fillId="41" borderId="0" xfId="0" applyFont="1" applyFill="1" applyAlignment="1" applyProtection="1">
      <alignment/>
      <protection locked="0"/>
    </xf>
    <xf numFmtId="0" fontId="27" fillId="38" borderId="0" xfId="0" applyFont="1" applyFill="1" applyAlignment="1">
      <alignment/>
    </xf>
    <xf numFmtId="2" fontId="0" fillId="38" borderId="0" xfId="0" applyNumberFormat="1" applyFill="1" applyAlignment="1">
      <alignment/>
    </xf>
    <xf numFmtId="0" fontId="24" fillId="38" borderId="0" xfId="0" applyFont="1" applyFill="1" applyAlignment="1">
      <alignment/>
    </xf>
    <xf numFmtId="0" fontId="0" fillId="42" borderId="0" xfId="0" applyFill="1" applyAlignment="1" applyProtection="1">
      <alignment/>
      <protection locked="0"/>
    </xf>
    <xf numFmtId="0" fontId="15" fillId="38" borderId="0" xfId="0" applyFont="1" applyFill="1" applyAlignment="1">
      <alignment/>
    </xf>
    <xf numFmtId="0" fontId="22" fillId="38" borderId="0" xfId="0" applyFont="1" applyFill="1" applyAlignment="1">
      <alignment/>
    </xf>
    <xf numFmtId="0" fontId="23" fillId="38" borderId="0" xfId="0" applyFont="1" applyFill="1" applyAlignment="1">
      <alignment/>
    </xf>
    <xf numFmtId="2" fontId="23" fillId="38" borderId="0" xfId="0" applyNumberFormat="1" applyFont="1" applyFill="1" applyAlignment="1">
      <alignment/>
    </xf>
    <xf numFmtId="0" fontId="28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0" fontId="22" fillId="38" borderId="0" xfId="0" applyFont="1" applyFill="1" applyAlignment="1">
      <alignment horizontal="center"/>
    </xf>
    <xf numFmtId="0" fontId="24" fillId="38" borderId="0" xfId="0" applyFont="1" applyFill="1" applyAlignment="1">
      <alignment/>
    </xf>
    <xf numFmtId="0" fontId="22" fillId="38" borderId="0" xfId="0" applyFont="1" applyFill="1" applyAlignment="1">
      <alignment/>
    </xf>
    <xf numFmtId="2" fontId="22" fillId="38" borderId="0" xfId="0" applyNumberFormat="1" applyFont="1" applyFill="1" applyAlignment="1">
      <alignment horizontal="center"/>
    </xf>
    <xf numFmtId="0" fontId="20" fillId="38" borderId="0" xfId="0" applyFont="1" applyFill="1" applyAlignment="1">
      <alignment/>
    </xf>
    <xf numFmtId="0" fontId="20" fillId="38" borderId="0" xfId="0" applyFont="1" applyFill="1" applyAlignment="1">
      <alignment/>
    </xf>
    <xf numFmtId="0" fontId="33" fillId="38" borderId="0" xfId="0" applyFont="1" applyFill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2" fillId="43" borderId="0" xfId="0" applyFont="1" applyFill="1" applyAlignment="1">
      <alignment/>
    </xf>
    <xf numFmtId="0" fontId="0" fillId="43" borderId="0" xfId="0" applyFill="1" applyAlignment="1">
      <alignment/>
    </xf>
    <xf numFmtId="0" fontId="0" fillId="38" borderId="0" xfId="0" applyFill="1" applyAlignment="1">
      <alignment horizontal="right"/>
    </xf>
    <xf numFmtId="2" fontId="0" fillId="43" borderId="10" xfId="0" applyNumberFormat="1" applyFill="1" applyBorder="1" applyAlignment="1">
      <alignment horizontal="center" vertical="center"/>
    </xf>
    <xf numFmtId="2" fontId="0" fillId="43" borderId="10" xfId="0" applyNumberFormat="1" applyFill="1" applyBorder="1" applyAlignment="1">
      <alignment horizontal="center"/>
    </xf>
    <xf numFmtId="2" fontId="24" fillId="43" borderId="10" xfId="0" applyNumberFormat="1" applyFont="1" applyFill="1" applyBorder="1" applyAlignment="1">
      <alignment horizontal="center" vertical="center"/>
    </xf>
    <xf numFmtId="2" fontId="24" fillId="43" borderId="10" xfId="0" applyNumberFormat="1" applyFont="1" applyFill="1" applyBorder="1" applyAlignment="1">
      <alignment horizontal="center"/>
    </xf>
    <xf numFmtId="0" fontId="35" fillId="38" borderId="0" xfId="0" applyFont="1" applyFill="1" applyAlignment="1">
      <alignment horizontal="right"/>
    </xf>
    <xf numFmtId="0" fontId="0" fillId="38" borderId="0" xfId="0" applyFont="1" applyFill="1" applyAlignment="1">
      <alignment horizontal="right"/>
    </xf>
    <xf numFmtId="0" fontId="0" fillId="38" borderId="0" xfId="0" applyFont="1" applyFill="1" applyAlignment="1">
      <alignment horizontal="right"/>
    </xf>
    <xf numFmtId="0" fontId="5" fillId="38" borderId="0" xfId="0" applyFont="1" applyFill="1" applyAlignment="1">
      <alignment horizontal="right"/>
    </xf>
    <xf numFmtId="0" fontId="20" fillId="43" borderId="11" xfId="0" applyFont="1" applyFill="1" applyBorder="1" applyAlignment="1">
      <alignment/>
    </xf>
    <xf numFmtId="0" fontId="21" fillId="43" borderId="12" xfId="0" applyFont="1" applyFill="1" applyBorder="1" applyAlignment="1">
      <alignment horizontal="center"/>
    </xf>
    <xf numFmtId="2" fontId="15" fillId="43" borderId="10" xfId="0" applyNumberFormat="1" applyFont="1" applyFill="1" applyBorder="1" applyAlignment="1">
      <alignment horizontal="center"/>
    </xf>
    <xf numFmtId="0" fontId="22" fillId="43" borderId="13" xfId="0" applyFont="1" applyFill="1" applyBorder="1" applyAlignment="1">
      <alignment/>
    </xf>
    <xf numFmtId="0" fontId="35" fillId="43" borderId="14" xfId="0" applyFont="1" applyFill="1" applyBorder="1" applyAlignment="1">
      <alignment/>
    </xf>
    <xf numFmtId="2" fontId="35" fillId="43" borderId="13" xfId="0" applyNumberFormat="1" applyFont="1" applyFill="1" applyBorder="1" applyAlignment="1">
      <alignment/>
    </xf>
    <xf numFmtId="2" fontId="35" fillId="43" borderId="15" xfId="0" applyNumberFormat="1" applyFont="1" applyFill="1" applyBorder="1" applyAlignment="1">
      <alignment/>
    </xf>
    <xf numFmtId="0" fontId="20" fillId="44" borderId="0" xfId="0" applyFont="1" applyFill="1" applyBorder="1" applyAlignment="1">
      <alignment/>
    </xf>
    <xf numFmtId="0" fontId="0" fillId="44" borderId="0" xfId="0" applyFill="1" applyAlignment="1">
      <alignment/>
    </xf>
    <xf numFmtId="0" fontId="37" fillId="43" borderId="16" xfId="0" applyFont="1" applyFill="1" applyBorder="1" applyAlignment="1">
      <alignment/>
    </xf>
    <xf numFmtId="0" fontId="37" fillId="43" borderId="17" xfId="0" applyFont="1" applyFill="1" applyBorder="1" applyAlignment="1">
      <alignment/>
    </xf>
    <xf numFmtId="2" fontId="37" fillId="43" borderId="17" xfId="0" applyNumberFormat="1" applyFont="1" applyFill="1" applyBorder="1" applyAlignment="1">
      <alignment/>
    </xf>
    <xf numFmtId="2" fontId="37" fillId="43" borderId="18" xfId="0" applyNumberFormat="1" applyFont="1" applyFill="1" applyBorder="1" applyAlignment="1">
      <alignment/>
    </xf>
    <xf numFmtId="0" fontId="21" fillId="43" borderId="12" xfId="0" applyFont="1" applyFill="1" applyBorder="1" applyAlignment="1">
      <alignment/>
    </xf>
    <xf numFmtId="0" fontId="21" fillId="43" borderId="19" xfId="0" applyFont="1" applyFill="1" applyBorder="1" applyAlignment="1">
      <alignment/>
    </xf>
    <xf numFmtId="0" fontId="38" fillId="38" borderId="0" xfId="0" applyFont="1" applyFill="1" applyAlignment="1">
      <alignment/>
    </xf>
    <xf numFmtId="0" fontId="38" fillId="38" borderId="0" xfId="0" applyFont="1" applyFill="1" applyAlignment="1">
      <alignment wrapText="1"/>
    </xf>
    <xf numFmtId="168" fontId="0" fillId="38" borderId="0" xfId="0" applyNumberFormat="1" applyFill="1" applyAlignment="1">
      <alignment/>
    </xf>
    <xf numFmtId="0" fontId="39" fillId="38" borderId="0" xfId="0" applyFont="1" applyFill="1" applyAlignment="1">
      <alignment/>
    </xf>
    <xf numFmtId="0" fontId="0" fillId="38" borderId="17" xfId="0" applyFill="1" applyBorder="1" applyAlignment="1">
      <alignment/>
    </xf>
    <xf numFmtId="0" fontId="0" fillId="38" borderId="17" xfId="0" applyFill="1" applyBorder="1" applyAlignment="1">
      <alignment horizontal="center"/>
    </xf>
    <xf numFmtId="0" fontId="108" fillId="38" borderId="0" xfId="0" applyFont="1" applyFill="1" applyAlignment="1">
      <alignment/>
    </xf>
    <xf numFmtId="0" fontId="109" fillId="43" borderId="10" xfId="0" applyFont="1" applyFill="1" applyBorder="1" applyAlignment="1">
      <alignment horizontal="center" vertical="center" wrapText="1"/>
    </xf>
    <xf numFmtId="0" fontId="110" fillId="43" borderId="12" xfId="0" applyFont="1" applyFill="1" applyBorder="1" applyAlignment="1">
      <alignment horizontal="right"/>
    </xf>
    <xf numFmtId="0" fontId="111" fillId="43" borderId="11" xfId="0" applyFont="1" applyFill="1" applyBorder="1" applyAlignment="1">
      <alignment/>
    </xf>
    <xf numFmtId="2" fontId="111" fillId="43" borderId="10" xfId="0" applyNumberFormat="1" applyFont="1" applyFill="1" applyBorder="1" applyAlignment="1">
      <alignment horizontal="center"/>
    </xf>
    <xf numFmtId="0" fontId="111" fillId="38" borderId="0" xfId="0" applyFont="1" applyFill="1" applyAlignment="1">
      <alignment/>
    </xf>
    <xf numFmtId="2" fontId="111" fillId="38" borderId="0" xfId="0" applyNumberFormat="1" applyFont="1" applyFill="1" applyAlignment="1">
      <alignment horizontal="center"/>
    </xf>
    <xf numFmtId="0" fontId="110" fillId="43" borderId="12" xfId="0" applyFont="1" applyFill="1" applyBorder="1" applyAlignment="1">
      <alignment horizontal="center"/>
    </xf>
    <xf numFmtId="0" fontId="110" fillId="43" borderId="11" xfId="0" applyFont="1" applyFill="1" applyBorder="1" applyAlignment="1">
      <alignment/>
    </xf>
    <xf numFmtId="2" fontId="110" fillId="43" borderId="11" xfId="0" applyNumberFormat="1" applyFont="1" applyFill="1" applyBorder="1" applyAlignment="1">
      <alignment horizontal="center"/>
    </xf>
    <xf numFmtId="2" fontId="110" fillId="43" borderId="10" xfId="0" applyNumberFormat="1" applyFont="1" applyFill="1" applyBorder="1" applyAlignment="1">
      <alignment horizontal="center"/>
    </xf>
    <xf numFmtId="0" fontId="112" fillId="43" borderId="12" xfId="0" applyFont="1" applyFill="1" applyBorder="1" applyAlignment="1">
      <alignment horizontal="center"/>
    </xf>
    <xf numFmtId="0" fontId="112" fillId="43" borderId="11" xfId="0" applyFont="1" applyFill="1" applyBorder="1" applyAlignment="1">
      <alignment/>
    </xf>
    <xf numFmtId="2" fontId="112" fillId="43" borderId="11" xfId="0" applyNumberFormat="1" applyFont="1" applyFill="1" applyBorder="1" applyAlignment="1">
      <alignment horizontal="center"/>
    </xf>
    <xf numFmtId="0" fontId="110" fillId="38" borderId="0" xfId="0" applyFont="1" applyFill="1" applyAlignment="1">
      <alignment horizontal="right"/>
    </xf>
    <xf numFmtId="0" fontId="113" fillId="43" borderId="11" xfId="0" applyFont="1" applyFill="1" applyBorder="1" applyAlignment="1">
      <alignment/>
    </xf>
    <xf numFmtId="2" fontId="113" fillId="43" borderId="10" xfId="0" applyNumberFormat="1" applyFont="1" applyFill="1" applyBorder="1" applyAlignment="1">
      <alignment horizontal="center"/>
    </xf>
    <xf numFmtId="0" fontId="108" fillId="38" borderId="0" xfId="0" applyFont="1" applyFill="1" applyAlignment="1">
      <alignment horizontal="right"/>
    </xf>
    <xf numFmtId="0" fontId="108" fillId="38" borderId="0" xfId="0" applyFont="1" applyFill="1" applyAlignment="1">
      <alignment horizontal="center"/>
    </xf>
    <xf numFmtId="0" fontId="114" fillId="43" borderId="11" xfId="0" applyFont="1" applyFill="1" applyBorder="1" applyAlignment="1">
      <alignment/>
    </xf>
    <xf numFmtId="0" fontId="110" fillId="38" borderId="0" xfId="0" applyFont="1" applyFill="1" applyAlignment="1">
      <alignment/>
    </xf>
    <xf numFmtId="0" fontId="109" fillId="38" borderId="0" xfId="0" applyFont="1" applyFill="1" applyAlignment="1">
      <alignment/>
    </xf>
    <xf numFmtId="0" fontId="115" fillId="38" borderId="0" xfId="0" applyFont="1" applyFill="1" applyAlignment="1">
      <alignment/>
    </xf>
    <xf numFmtId="0" fontId="116" fillId="38" borderId="0" xfId="0" applyFont="1" applyFill="1" applyAlignment="1">
      <alignment/>
    </xf>
    <xf numFmtId="0" fontId="113" fillId="38" borderId="0" xfId="0" applyFont="1" applyFill="1" applyAlignment="1">
      <alignment/>
    </xf>
    <xf numFmtId="0" fontId="112" fillId="43" borderId="14" xfId="0" applyFont="1" applyFill="1" applyBorder="1" applyAlignment="1">
      <alignment/>
    </xf>
    <xf numFmtId="0" fontId="112" fillId="43" borderId="13" xfId="0" applyFont="1" applyFill="1" applyBorder="1" applyAlignment="1">
      <alignment/>
    </xf>
    <xf numFmtId="0" fontId="113" fillId="43" borderId="20" xfId="0" applyFont="1" applyFill="1" applyBorder="1" applyAlignment="1">
      <alignment/>
    </xf>
    <xf numFmtId="0" fontId="109" fillId="43" borderId="0" xfId="0" applyFont="1" applyFill="1" applyBorder="1" applyAlignment="1">
      <alignment/>
    </xf>
    <xf numFmtId="0" fontId="113" fillId="43" borderId="16" xfId="0" applyFont="1" applyFill="1" applyBorder="1" applyAlignment="1">
      <alignment/>
    </xf>
    <xf numFmtId="0" fontId="109" fillId="43" borderId="17" xfId="0" applyFont="1" applyFill="1" applyBorder="1" applyAlignment="1">
      <alignment/>
    </xf>
    <xf numFmtId="0" fontId="117" fillId="38" borderId="0" xfId="0" applyFont="1" applyFill="1" applyAlignment="1">
      <alignment wrapText="1"/>
    </xf>
    <xf numFmtId="0" fontId="109" fillId="38" borderId="0" xfId="0" applyFont="1" applyFill="1" applyAlignment="1">
      <alignment horizontal="center"/>
    </xf>
    <xf numFmtId="2" fontId="113" fillId="38" borderId="0" xfId="0" applyNumberFormat="1" applyFont="1" applyFill="1" applyAlignment="1">
      <alignment horizontal="center"/>
    </xf>
    <xf numFmtId="0" fontId="118" fillId="38" borderId="0" xfId="0" applyFont="1" applyFill="1" applyAlignment="1">
      <alignment/>
    </xf>
    <xf numFmtId="2" fontId="118" fillId="38" borderId="0" xfId="0" applyNumberFormat="1" applyFont="1" applyFill="1" applyAlignment="1">
      <alignment horizontal="center"/>
    </xf>
    <xf numFmtId="0" fontId="119" fillId="44" borderId="0" xfId="0" applyFont="1" applyFill="1" applyAlignment="1">
      <alignment/>
    </xf>
    <xf numFmtId="0" fontId="43" fillId="44" borderId="0" xfId="0" applyFont="1" applyFill="1" applyAlignment="1">
      <alignment/>
    </xf>
    <xf numFmtId="0" fontId="4" fillId="34" borderId="0" xfId="0" applyFont="1" applyFill="1" applyAlignment="1">
      <alignment/>
    </xf>
    <xf numFmtId="0" fontId="120" fillId="45" borderId="0" xfId="0" applyFont="1" applyFill="1" applyAlignment="1" applyProtection="1">
      <alignment/>
      <protection/>
    </xf>
    <xf numFmtId="0" fontId="26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38" borderId="0" xfId="0" applyFill="1" applyAlignment="1" applyProtection="1">
      <alignment horizontal="right" indent="2"/>
      <protection/>
    </xf>
    <xf numFmtId="0" fontId="92" fillId="38" borderId="0" xfId="0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4" fillId="38" borderId="0" xfId="0" applyFont="1" applyFill="1" applyAlignment="1" applyProtection="1">
      <alignment horizontal="right" indent="2"/>
      <protection/>
    </xf>
    <xf numFmtId="0" fontId="0" fillId="38" borderId="0" xfId="0" applyFont="1" applyFill="1" applyAlignment="1" applyProtection="1">
      <alignment/>
      <protection/>
    </xf>
    <xf numFmtId="0" fontId="121" fillId="45" borderId="0" xfId="0" applyFont="1" applyFill="1" applyAlignment="1" applyProtection="1">
      <alignment vertical="center"/>
      <protection/>
    </xf>
    <xf numFmtId="0" fontId="0" fillId="45" borderId="0" xfId="0" applyFill="1" applyAlignment="1" applyProtection="1">
      <alignment/>
      <protection/>
    </xf>
    <xf numFmtId="0" fontId="0" fillId="45" borderId="0" xfId="0" applyFont="1" applyFill="1" applyAlignment="1" applyProtection="1">
      <alignment/>
      <protection/>
    </xf>
    <xf numFmtId="0" fontId="21" fillId="38" borderId="0" xfId="0" applyFont="1" applyFill="1" applyAlignment="1" applyProtection="1">
      <alignment/>
      <protection/>
    </xf>
    <xf numFmtId="0" fontId="17" fillId="38" borderId="0" xfId="0" applyFont="1" applyFill="1" applyAlignment="1" applyProtection="1">
      <alignment/>
      <protection/>
    </xf>
    <xf numFmtId="0" fontId="4" fillId="38" borderId="0" xfId="0" applyFont="1" applyFill="1" applyAlignment="1" applyProtection="1">
      <alignment/>
      <protection/>
    </xf>
    <xf numFmtId="0" fontId="121" fillId="45" borderId="0" xfId="0" applyFont="1" applyFill="1" applyAlignment="1" applyProtection="1">
      <alignment/>
      <protection/>
    </xf>
    <xf numFmtId="0" fontId="12" fillId="45" borderId="0" xfId="0" applyFont="1" applyFill="1" applyAlignment="1" applyProtection="1">
      <alignment/>
      <protection/>
    </xf>
    <xf numFmtId="0" fontId="4" fillId="45" borderId="0" xfId="0" applyFont="1" applyFill="1" applyAlignment="1" applyProtection="1">
      <alignment/>
      <protection/>
    </xf>
    <xf numFmtId="0" fontId="119" fillId="38" borderId="0" xfId="0" applyFont="1" applyFill="1" applyAlignment="1" applyProtection="1">
      <alignment/>
      <protection/>
    </xf>
    <xf numFmtId="0" fontId="122" fillId="38" borderId="0" xfId="0" applyFont="1" applyFill="1" applyAlignment="1" applyProtection="1">
      <alignment/>
      <protection/>
    </xf>
    <xf numFmtId="0" fontId="29" fillId="38" borderId="0" xfId="0" applyFont="1" applyFill="1" applyAlignment="1" applyProtection="1">
      <alignment/>
      <protection/>
    </xf>
    <xf numFmtId="0" fontId="21" fillId="38" borderId="0" xfId="0" applyFont="1" applyFill="1" applyAlignment="1" applyProtection="1">
      <alignment wrapText="1"/>
      <protection/>
    </xf>
    <xf numFmtId="0" fontId="20" fillId="38" borderId="0" xfId="0" applyFont="1" applyFill="1" applyAlignment="1" applyProtection="1">
      <alignment/>
      <protection/>
    </xf>
    <xf numFmtId="0" fontId="121" fillId="45" borderId="0" xfId="0" applyFont="1" applyFill="1" applyAlignment="1" applyProtection="1">
      <alignment wrapText="1"/>
      <protection/>
    </xf>
    <xf numFmtId="0" fontId="92" fillId="45" borderId="0" xfId="0" applyFont="1" applyFill="1" applyAlignment="1" applyProtection="1">
      <alignment/>
      <protection/>
    </xf>
    <xf numFmtId="0" fontId="29" fillId="45" borderId="0" xfId="0" applyFont="1" applyFill="1" applyAlignment="1" applyProtection="1">
      <alignment/>
      <protection/>
    </xf>
    <xf numFmtId="0" fontId="26" fillId="45" borderId="0" xfId="0" applyFont="1" applyFill="1" applyAlignment="1" applyProtection="1">
      <alignment/>
      <protection/>
    </xf>
    <xf numFmtId="0" fontId="123" fillId="38" borderId="0" xfId="0" applyFont="1" applyFill="1" applyAlignment="1" applyProtection="1">
      <alignment/>
      <protection/>
    </xf>
    <xf numFmtId="0" fontId="108" fillId="38" borderId="0" xfId="0" applyFont="1" applyFill="1" applyAlignment="1" applyProtection="1">
      <alignment/>
      <protection/>
    </xf>
    <xf numFmtId="0" fontId="108" fillId="38" borderId="13" xfId="0" applyFont="1" applyFill="1" applyBorder="1" applyAlignment="1" applyProtection="1">
      <alignment/>
      <protection/>
    </xf>
    <xf numFmtId="0" fontId="113" fillId="38" borderId="13" xfId="0" applyFont="1" applyFill="1" applyBorder="1" applyAlignment="1" applyProtection="1">
      <alignment/>
      <protection/>
    </xf>
    <xf numFmtId="0" fontId="108" fillId="38" borderId="15" xfId="0" applyFont="1" applyFill="1" applyBorder="1" applyAlignment="1" applyProtection="1">
      <alignment/>
      <protection/>
    </xf>
    <xf numFmtId="0" fontId="114" fillId="38" borderId="0" xfId="0" applyFont="1" applyFill="1" applyBorder="1" applyAlignment="1" applyProtection="1">
      <alignment horizontal="right"/>
      <protection/>
    </xf>
    <xf numFmtId="0" fontId="114" fillId="38" borderId="0" xfId="0" applyFont="1" applyFill="1" applyBorder="1" applyAlignment="1" applyProtection="1">
      <alignment/>
      <protection/>
    </xf>
    <xf numFmtId="0" fontId="109" fillId="38" borderId="0" xfId="0" applyFont="1" applyFill="1" applyBorder="1" applyAlignment="1" applyProtection="1">
      <alignment horizontal="center" vertical="center" wrapText="1"/>
      <protection/>
    </xf>
    <xf numFmtId="0" fontId="109" fillId="38" borderId="21" xfId="0" applyFont="1" applyFill="1" applyBorder="1" applyAlignment="1" applyProtection="1">
      <alignment horizontal="center" vertical="center" wrapText="1"/>
      <protection/>
    </xf>
    <xf numFmtId="0" fontId="23" fillId="38" borderId="0" xfId="0" applyFont="1" applyFill="1" applyAlignment="1" applyProtection="1">
      <alignment/>
      <protection/>
    </xf>
    <xf numFmtId="0" fontId="109" fillId="43" borderId="12" xfId="0" applyFont="1" applyFill="1" applyBorder="1" applyAlignment="1" applyProtection="1">
      <alignment horizontal="right"/>
      <protection/>
    </xf>
    <xf numFmtId="0" fontId="112" fillId="43" borderId="19" xfId="0" applyFont="1" applyFill="1" applyBorder="1" applyAlignment="1" applyProtection="1">
      <alignment/>
      <protection/>
    </xf>
    <xf numFmtId="2" fontId="114" fillId="43" borderId="19" xfId="0" applyNumberFormat="1" applyFont="1" applyFill="1" applyBorder="1" applyAlignment="1" applyProtection="1">
      <alignment horizontal="center" vertical="center"/>
      <protection/>
    </xf>
    <xf numFmtId="2" fontId="114" fillId="43" borderId="11" xfId="0" applyNumberFormat="1" applyFont="1" applyFill="1" applyBorder="1" applyAlignment="1" applyProtection="1">
      <alignment horizontal="center" vertical="center"/>
      <protection/>
    </xf>
    <xf numFmtId="0" fontId="30" fillId="38" borderId="0" xfId="0" applyFont="1" applyFill="1" applyAlignment="1" applyProtection="1">
      <alignment/>
      <protection/>
    </xf>
    <xf numFmtId="0" fontId="114" fillId="43" borderId="17" xfId="0" applyFont="1" applyFill="1" applyBorder="1" applyAlignment="1" applyProtection="1">
      <alignment horizontal="right"/>
      <protection/>
    </xf>
    <xf numFmtId="0" fontId="114" fillId="43" borderId="17" xfId="0" applyFont="1" applyFill="1" applyBorder="1" applyAlignment="1" applyProtection="1">
      <alignment/>
      <protection/>
    </xf>
    <xf numFmtId="2" fontId="114" fillId="43" borderId="17" xfId="0" applyNumberFormat="1" applyFont="1" applyFill="1" applyBorder="1" applyAlignment="1" applyProtection="1">
      <alignment horizontal="center" vertical="center"/>
      <protection/>
    </xf>
    <xf numFmtId="2" fontId="114" fillId="43" borderId="18" xfId="0" applyNumberFormat="1" applyFont="1" applyFill="1" applyBorder="1" applyAlignment="1" applyProtection="1">
      <alignment horizontal="center" vertical="center"/>
      <protection/>
    </xf>
    <xf numFmtId="0" fontId="112" fillId="43" borderId="17" xfId="0" applyFont="1" applyFill="1" applyBorder="1" applyAlignment="1" applyProtection="1">
      <alignment horizontal="right"/>
      <protection/>
    </xf>
    <xf numFmtId="0" fontId="112" fillId="43" borderId="17" xfId="0" applyFont="1" applyFill="1" applyBorder="1" applyAlignment="1" applyProtection="1">
      <alignment/>
      <protection/>
    </xf>
    <xf numFmtId="2" fontId="112" fillId="43" borderId="17" xfId="0" applyNumberFormat="1" applyFont="1" applyFill="1" applyBorder="1" applyAlignment="1" applyProtection="1">
      <alignment horizontal="center" vertical="center"/>
      <protection/>
    </xf>
    <xf numFmtId="2" fontId="112" fillId="43" borderId="18" xfId="0" applyNumberFormat="1" applyFont="1" applyFill="1" applyBorder="1" applyAlignment="1" applyProtection="1">
      <alignment horizontal="center" vertical="center"/>
      <protection/>
    </xf>
    <xf numFmtId="0" fontId="17" fillId="38" borderId="0" xfId="0" applyFont="1" applyFill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17" fillId="38" borderId="0" xfId="0" applyFont="1" applyFill="1" applyBorder="1" applyAlignment="1" applyProtection="1">
      <alignment/>
      <protection/>
    </xf>
    <xf numFmtId="0" fontId="31" fillId="38" borderId="0" xfId="0" applyFont="1" applyFill="1" applyAlignment="1" applyProtection="1">
      <alignment/>
      <protection/>
    </xf>
    <xf numFmtId="0" fontId="17" fillId="38" borderId="0" xfId="0" applyFont="1" applyFill="1" applyAlignment="1" applyProtection="1">
      <alignment wrapText="1"/>
      <protection/>
    </xf>
    <xf numFmtId="0" fontId="17" fillId="38" borderId="0" xfId="0" applyFont="1" applyFill="1" applyAlignment="1" applyProtection="1">
      <alignment wrapText="1"/>
      <protection/>
    </xf>
    <xf numFmtId="0" fontId="34" fillId="44" borderId="0" xfId="0" applyFont="1" applyFill="1" applyAlignment="1" applyProtection="1">
      <alignment/>
      <protection/>
    </xf>
    <xf numFmtId="0" fontId="17" fillId="44" borderId="0" xfId="0" applyFont="1" applyFill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0" fontId="4" fillId="44" borderId="0" xfId="0" applyFont="1" applyFill="1" applyAlignment="1" applyProtection="1">
      <alignment/>
      <protection locked="0"/>
    </xf>
    <xf numFmtId="0" fontId="0" fillId="44" borderId="0" xfId="0" applyFill="1" applyAlignment="1" applyProtection="1">
      <alignment/>
      <protection locked="0"/>
    </xf>
    <xf numFmtId="0" fontId="0" fillId="40" borderId="0" xfId="0" applyFill="1" applyAlignment="1" applyProtection="1">
      <alignment horizontal="right"/>
      <protection locked="0"/>
    </xf>
    <xf numFmtId="0" fontId="14" fillId="41" borderId="22" xfId="0" applyFont="1" applyFill="1" applyBorder="1" applyAlignment="1" applyProtection="1">
      <alignment horizontal="center"/>
      <protection locked="0"/>
    </xf>
    <xf numFmtId="0" fontId="124" fillId="38" borderId="0" xfId="0" applyFont="1" applyFill="1" applyAlignment="1" applyProtection="1">
      <alignment/>
      <protection/>
    </xf>
    <xf numFmtId="0" fontId="109" fillId="38" borderId="0" xfId="0" applyFont="1" applyFill="1" applyAlignment="1">
      <alignment horizontal="center" wrapText="1"/>
    </xf>
    <xf numFmtId="0" fontId="108" fillId="43" borderId="10" xfId="0" applyFont="1" applyFill="1" applyBorder="1" applyAlignment="1">
      <alignment horizontal="center"/>
    </xf>
    <xf numFmtId="2" fontId="108" fillId="43" borderId="10" xfId="0" applyNumberFormat="1" applyFont="1" applyFill="1" applyBorder="1" applyAlignment="1">
      <alignment horizontal="center"/>
    </xf>
    <xf numFmtId="2" fontId="115" fillId="43" borderId="10" xfId="0" applyNumberFormat="1" applyFont="1" applyFill="1" applyBorder="1" applyAlignment="1">
      <alignment horizontal="center"/>
    </xf>
    <xf numFmtId="2" fontId="116" fillId="43" borderId="10" xfId="0" applyNumberFormat="1" applyFont="1" applyFill="1" applyBorder="1" applyAlignment="1">
      <alignment horizontal="center"/>
    </xf>
    <xf numFmtId="2" fontId="112" fillId="43" borderId="10" xfId="0" applyNumberFormat="1" applyFont="1" applyFill="1" applyBorder="1" applyAlignment="1">
      <alignment horizontal="center"/>
    </xf>
    <xf numFmtId="168" fontId="113" fillId="43" borderId="10" xfId="0" applyNumberFormat="1" applyFont="1" applyFill="1" applyBorder="1" applyAlignment="1">
      <alignment horizontal="center"/>
    </xf>
    <xf numFmtId="0" fontId="119" fillId="38" borderId="0" xfId="0" applyFont="1" applyFill="1" applyAlignment="1">
      <alignment/>
    </xf>
    <xf numFmtId="2" fontId="119" fillId="38" borderId="0" xfId="0" applyNumberFormat="1" applyFont="1" applyFill="1" applyAlignment="1">
      <alignment/>
    </xf>
    <xf numFmtId="0" fontId="0" fillId="41" borderId="22" xfId="0" applyFont="1" applyFill="1" applyBorder="1" applyAlignment="1" applyProtection="1">
      <alignment horizontal="center"/>
      <protection locked="0"/>
    </xf>
    <xf numFmtId="0" fontId="29" fillId="40" borderId="10" xfId="0" applyFont="1" applyFill="1" applyBorder="1" applyAlignment="1" applyProtection="1">
      <alignment/>
      <protection locked="0"/>
    </xf>
    <xf numFmtId="0" fontId="14" fillId="38" borderId="0" xfId="0" applyFont="1" applyFill="1" applyAlignment="1" applyProtection="1">
      <alignment/>
      <protection locked="0"/>
    </xf>
    <xf numFmtId="0" fontId="119" fillId="38" borderId="0" xfId="0" applyFont="1" applyFill="1" applyAlignment="1" applyProtection="1">
      <alignment/>
      <protection locked="0"/>
    </xf>
    <xf numFmtId="0" fontId="29" fillId="43" borderId="10" xfId="0" applyFont="1" applyFill="1" applyBorder="1" applyAlignment="1" applyProtection="1">
      <alignment/>
      <protection locked="0"/>
    </xf>
    <xf numFmtId="0" fontId="29" fillId="38" borderId="10" xfId="0" applyFont="1" applyFill="1" applyBorder="1" applyAlignment="1" applyProtection="1">
      <alignment/>
      <protection/>
    </xf>
    <xf numFmtId="0" fontId="36" fillId="43" borderId="0" xfId="0" applyFont="1" applyFill="1" applyAlignment="1" applyProtection="1">
      <alignment/>
      <protection/>
    </xf>
    <xf numFmtId="0" fontId="26" fillId="46" borderId="10" xfId="0" applyFont="1" applyFill="1" applyBorder="1" applyAlignment="1" applyProtection="1">
      <alignment/>
      <protection/>
    </xf>
    <xf numFmtId="0" fontId="0" fillId="38" borderId="0" xfId="0" applyFill="1" applyAlignment="1" applyProtection="1">
      <alignment horizontal="right"/>
      <protection/>
    </xf>
    <xf numFmtId="0" fontId="0" fillId="45" borderId="0" xfId="0" applyFill="1" applyAlignment="1" applyProtection="1">
      <alignment/>
      <protection locked="0"/>
    </xf>
    <xf numFmtId="0" fontId="14" fillId="38" borderId="0" xfId="0" applyFont="1" applyFill="1" applyAlignment="1" applyProtection="1">
      <alignment/>
      <protection/>
    </xf>
    <xf numFmtId="0" fontId="15" fillId="38" borderId="0" xfId="0" applyFont="1" applyFill="1" applyAlignment="1" applyProtection="1">
      <alignment wrapText="1"/>
      <protection/>
    </xf>
    <xf numFmtId="0" fontId="0" fillId="38" borderId="0" xfId="0" applyFill="1" applyAlignment="1" applyProtection="1">
      <alignment wrapText="1"/>
      <protection/>
    </xf>
    <xf numFmtId="0" fontId="4" fillId="41" borderId="21" xfId="0" applyFont="1" applyFill="1" applyBorder="1" applyAlignment="1" applyProtection="1">
      <alignment/>
      <protection/>
    </xf>
    <xf numFmtId="0" fontId="0" fillId="38" borderId="0" xfId="0" applyFill="1" applyAlignment="1" applyProtection="1">
      <alignment horizontal="center"/>
      <protection/>
    </xf>
    <xf numFmtId="0" fontId="14" fillId="38" borderId="0" xfId="0" applyFont="1" applyFill="1" applyAlignment="1" applyProtection="1">
      <alignment horizontal="center"/>
      <protection/>
    </xf>
    <xf numFmtId="0" fontId="4" fillId="41" borderId="0" xfId="0" applyFont="1" applyFill="1" applyAlignment="1" applyProtection="1">
      <alignment/>
      <protection/>
    </xf>
    <xf numFmtId="0" fontId="12" fillId="38" borderId="0" xfId="0" applyFont="1" applyFill="1" applyAlignment="1" applyProtection="1">
      <alignment/>
      <protection/>
    </xf>
    <xf numFmtId="0" fontId="4" fillId="44" borderId="0" xfId="0" applyFont="1" applyFill="1" applyAlignment="1" applyProtection="1">
      <alignment/>
      <protection/>
    </xf>
    <xf numFmtId="0" fontId="21" fillId="38" borderId="0" xfId="0" applyFont="1" applyFill="1" applyAlignment="1" applyProtection="1">
      <alignment horizontal="right"/>
      <protection/>
    </xf>
    <xf numFmtId="0" fontId="26" fillId="38" borderId="0" xfId="0" applyFont="1" applyFill="1" applyAlignment="1" applyProtection="1">
      <alignment horizontal="right"/>
      <protection/>
    </xf>
    <xf numFmtId="0" fontId="42" fillId="38" borderId="0" xfId="0" applyFont="1" applyFill="1" applyAlignment="1" applyProtection="1">
      <alignment horizontal="right"/>
      <protection/>
    </xf>
    <xf numFmtId="0" fontId="125" fillId="38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40" borderId="10" xfId="0" applyFill="1" applyBorder="1" applyAlignment="1" applyProtection="1">
      <alignment/>
      <protection locked="0"/>
    </xf>
    <xf numFmtId="0" fontId="26" fillId="38" borderId="0" xfId="0" applyFont="1" applyFill="1" applyAlignment="1" applyProtection="1">
      <alignment horizontal="right" wrapText="1" indent="2"/>
      <protection/>
    </xf>
    <xf numFmtId="0" fontId="126" fillId="46" borderId="10" xfId="0" applyFont="1" applyFill="1" applyBorder="1" applyAlignment="1" applyProtection="1">
      <alignment horizontal="right"/>
      <protection/>
    </xf>
    <xf numFmtId="0" fontId="127" fillId="45" borderId="0" xfId="0" applyFont="1" applyFill="1" applyAlignment="1" applyProtection="1">
      <alignment wrapText="1"/>
      <protection/>
    </xf>
    <xf numFmtId="2" fontId="127" fillId="43" borderId="19" xfId="0" applyNumberFormat="1" applyFont="1" applyFill="1" applyBorder="1" applyAlignment="1">
      <alignment/>
    </xf>
    <xf numFmtId="2" fontId="127" fillId="43" borderId="11" xfId="0" applyNumberFormat="1" applyFont="1" applyFill="1" applyBorder="1" applyAlignment="1">
      <alignment/>
    </xf>
    <xf numFmtId="2" fontId="29" fillId="4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5" fillId="0" borderId="0" xfId="0" applyNumberFormat="1" applyFont="1" applyAlignment="1">
      <alignment/>
    </xf>
    <xf numFmtId="2" fontId="128" fillId="43" borderId="10" xfId="0" applyNumberFormat="1" applyFont="1" applyFill="1" applyBorder="1" applyAlignment="1">
      <alignment horizontal="center"/>
    </xf>
    <xf numFmtId="2" fontId="107" fillId="43" borderId="10" xfId="0" applyNumberFormat="1" applyFont="1" applyFill="1" applyBorder="1" applyAlignment="1">
      <alignment horizontal="center"/>
    </xf>
    <xf numFmtId="0" fontId="92" fillId="43" borderId="0" xfId="0" applyFont="1" applyFill="1" applyAlignment="1">
      <alignment horizontal="right"/>
    </xf>
    <xf numFmtId="0" fontId="92" fillId="43" borderId="0" xfId="0" applyFont="1" applyFill="1" applyAlignment="1">
      <alignment/>
    </xf>
    <xf numFmtId="164" fontId="92" fillId="43" borderId="0" xfId="0" applyNumberFormat="1" applyFont="1" applyFill="1" applyAlignment="1">
      <alignment/>
    </xf>
    <xf numFmtId="2" fontId="92" fillId="43" borderId="0" xfId="0" applyNumberFormat="1" applyFont="1" applyFill="1" applyAlignment="1">
      <alignment/>
    </xf>
    <xf numFmtId="11" fontId="92" fillId="43" borderId="0" xfId="0" applyNumberFormat="1" applyFont="1" applyFill="1" applyAlignment="1">
      <alignment/>
    </xf>
    <xf numFmtId="0" fontId="92" fillId="0" borderId="0" xfId="0" applyFont="1" applyFill="1" applyAlignment="1">
      <alignment/>
    </xf>
    <xf numFmtId="0" fontId="129" fillId="43" borderId="0" xfId="0" applyFont="1" applyFill="1" applyAlignment="1">
      <alignment/>
    </xf>
    <xf numFmtId="0" fontId="95" fillId="43" borderId="0" xfId="0" applyFont="1" applyFill="1" applyAlignment="1">
      <alignment/>
    </xf>
    <xf numFmtId="0" fontId="130" fillId="38" borderId="10" xfId="0" applyFont="1" applyFill="1" applyBorder="1" applyAlignment="1" applyProtection="1">
      <alignment/>
      <protection locked="0"/>
    </xf>
    <xf numFmtId="0" fontId="43" fillId="44" borderId="0" xfId="0" applyFont="1" applyFill="1" applyAlignment="1" applyProtection="1">
      <alignment/>
      <protection locked="0"/>
    </xf>
    <xf numFmtId="0" fontId="131" fillId="44" borderId="0" xfId="0" applyFont="1" applyFill="1" applyAlignment="1" applyProtection="1">
      <alignment/>
      <protection locked="0"/>
    </xf>
    <xf numFmtId="0" fontId="46" fillId="4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5" fillId="44" borderId="0" xfId="0" applyFont="1" applyFill="1" applyAlignment="1">
      <alignment horizontal="center"/>
    </xf>
    <xf numFmtId="0" fontId="43" fillId="44" borderId="0" xfId="0" applyFont="1" applyFill="1" applyAlignment="1">
      <alignment wrapText="1"/>
    </xf>
    <xf numFmtId="0" fontId="28" fillId="38" borderId="0" xfId="0" applyFont="1" applyFill="1" applyAlignment="1" applyProtection="1">
      <alignment wrapText="1"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wissenschaft-Eingab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Greenhouse gas emissions of honey production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(kg CO</a:t>
            </a:r>
            <a:r>
              <a:rPr lang="en-US" cap="none" sz="10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per lb of honey), no transport to processor</a:t>
            </a:r>
          </a:p>
        </c:rich>
      </c:tx>
      <c:layout>
        <c:manualLayout>
          <c:xMode val="factor"/>
          <c:yMode val="factor"/>
          <c:x val="-0.06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4"/>
          <c:y val="0.4155"/>
          <c:w val="0.15175"/>
          <c:h val="0.308"/>
        </c:manualLayout>
      </c:layout>
      <c:pieChart>
        <c:varyColors val="1"/>
        <c:ser>
          <c:idx val="0"/>
          <c:order val="0"/>
          <c:spPr>
            <a:solidFill>
              <a:srgbClr val="DDDDD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'Honey Production - Results'!$D$71:$D$74</c:f>
              <c:strCache/>
            </c:strRef>
          </c:cat>
          <c:val>
            <c:numRef>
              <c:f>'Honey Production - Results'!$E$71:$E$74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"/>
          <c:y val="0.4"/>
          <c:w val="0.2265"/>
          <c:h val="0.3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Greenhouse gas emissions of honey packaging</a:t>
            </a:r>
          </a:p>
        </c:rich>
      </c:tx>
      <c:layout>
        <c:manualLayout>
          <c:xMode val="factor"/>
          <c:yMode val="factor"/>
          <c:x val="-0.14575"/>
          <c:y val="0.07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"/>
          <c:y val="0.31775"/>
          <c:w val="0.20225"/>
          <c:h val="0.47475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'Packaging - Results'!$C$30:$C$32</c:f>
              <c:strCache/>
            </c:strRef>
          </c:cat>
          <c:val>
            <c:numRef>
              <c:f>'Packaging - Results'!$D$30:$D$32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5"/>
          <c:y val="0.2755"/>
          <c:w val="0.43675"/>
          <c:h val="0.68775"/>
        </c:manualLayout>
      </c:layout>
      <c:pieChart>
        <c:varyColors val="1"/>
        <c:ser>
          <c:idx val="0"/>
          <c:order val="0"/>
          <c:tx>
            <c:strRef>
              <c:f>'Producer results'!$F$5</c:f>
              <c:strCache>
                <c:ptCount val="1"/>
                <c:pt idx="0">
                  <c:v>Total greenhouse gas emissions (kg CO2-equivalents per kg honey)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'Producer results'!$A$6:$E$7</c:f>
              <c:multiLvlStrCache/>
            </c:multiLvlStrRef>
          </c:cat>
          <c:val>
            <c:numRef>
              <c:f>'Producer results'!$F$6:$F$7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25"/>
          <c:y val="0.3265"/>
          <c:w val="0.3385"/>
          <c:h val="0.38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265"/>
          <c:y val="0.32125"/>
          <c:w val="0.374"/>
          <c:h val="0.589"/>
        </c:manualLayout>
      </c:layout>
      <c:pieChart>
        <c:varyColors val="1"/>
        <c:ser>
          <c:idx val="0"/>
          <c:order val="0"/>
          <c:tx>
            <c:strRef>
              <c:f>'Total Packaging Results'!$F$5</c:f>
              <c:strCache>
                <c:ptCount val="1"/>
                <c:pt idx="0">
                  <c:v>Total greenhouse gas emissions (kg CO2-equivalents per kg honey)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'Total Packaging Results'!$A$6:$E$7</c:f>
              <c:multiLvlStrCache/>
            </c:multiLvlStrRef>
          </c:cat>
          <c:val>
            <c:numRef>
              <c:f>'Total Packaging Results'!$F$6:$F$7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85"/>
          <c:y val="0.3575"/>
          <c:w val="0.3385"/>
          <c:h val="0.28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kg CO2-eq per 1 kg of honey</a:t>
            </a:r>
          </a:p>
        </c:rich>
      </c:tx>
      <c:layout>
        <c:manualLayout>
          <c:xMode val="factor"/>
          <c:yMode val="factor"/>
          <c:x val="-0.002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625"/>
          <c:w val="0.53675"/>
          <c:h val="0.6035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results'!$C$14:$C$16</c:f>
              <c:strCache/>
            </c:strRef>
          </c:cat>
          <c:val>
            <c:numRef>
              <c:f>'Total results'!$D$14:$D$16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5"/>
          <c:y val="0.0855"/>
          <c:w val="0.913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8</xdr:col>
      <xdr:colOff>361950</xdr:colOff>
      <xdr:row>3</xdr:row>
      <xdr:rowOff>304800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561975" y="762000"/>
          <a:ext cx="4524375" cy="571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Please select answers to the questions below, press the "Next Page" button to get started, then fill out each worksheet in the model.</a:t>
          </a:r>
        </a:p>
      </xdr:txBody>
    </xdr:sp>
    <xdr:clientData/>
  </xdr:twoCellAnchor>
  <xdr:twoCellAnchor editAs="oneCell">
    <xdr:from>
      <xdr:col>1</xdr:col>
      <xdr:colOff>57150</xdr:colOff>
      <xdr:row>12</xdr:row>
      <xdr:rowOff>76200</xdr:rowOff>
    </xdr:from>
    <xdr:to>
      <xdr:col>5</xdr:col>
      <xdr:colOff>457200</xdr:colOff>
      <xdr:row>14</xdr:row>
      <xdr:rowOff>133350</xdr:rowOff>
    </xdr:to>
    <xdr:pic>
      <xdr:nvPicPr>
        <xdr:cNvPr id="2" name="Picture 2" descr="ASI logo w-o 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629025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161925</xdr:rowOff>
    </xdr:from>
    <xdr:to>
      <xdr:col>5</xdr:col>
      <xdr:colOff>771525</xdr:colOff>
      <xdr:row>4</xdr:row>
      <xdr:rowOff>1381125</xdr:rowOff>
    </xdr:to>
    <xdr:graphicFrame>
      <xdr:nvGraphicFramePr>
        <xdr:cNvPr id="1" name="Chart 1"/>
        <xdr:cNvGraphicFramePr/>
      </xdr:nvGraphicFramePr>
      <xdr:xfrm>
        <a:off x="4781550" y="161925"/>
        <a:ext cx="5676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66675</xdr:rowOff>
    </xdr:from>
    <xdr:to>
      <xdr:col>5</xdr:col>
      <xdr:colOff>342900</xdr:colOff>
      <xdr:row>4</xdr:row>
      <xdr:rowOff>47625</xdr:rowOff>
    </xdr:to>
    <xdr:graphicFrame>
      <xdr:nvGraphicFramePr>
        <xdr:cNvPr id="1" name="Chart 1"/>
        <xdr:cNvGraphicFramePr/>
      </xdr:nvGraphicFramePr>
      <xdr:xfrm>
        <a:off x="3648075" y="66675"/>
        <a:ext cx="5772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11</xdr:row>
      <xdr:rowOff>28575</xdr:rowOff>
    </xdr:from>
    <xdr:to>
      <xdr:col>5</xdr:col>
      <xdr:colOff>952500</xdr:colOff>
      <xdr:row>26</xdr:row>
      <xdr:rowOff>28575</xdr:rowOff>
    </xdr:to>
    <xdr:graphicFrame>
      <xdr:nvGraphicFramePr>
        <xdr:cNvPr id="1" name="Chart 3"/>
        <xdr:cNvGraphicFramePr/>
      </xdr:nvGraphicFramePr>
      <xdr:xfrm>
        <a:off x="1581150" y="2809875"/>
        <a:ext cx="44481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11</xdr:row>
      <xdr:rowOff>19050</xdr:rowOff>
    </xdr:from>
    <xdr:to>
      <xdr:col>5</xdr:col>
      <xdr:colOff>981075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609725" y="2800350"/>
        <a:ext cx="44481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1866900</xdr:colOff>
      <xdr:row>11</xdr:row>
      <xdr:rowOff>28575</xdr:rowOff>
    </xdr:from>
    <xdr:to>
      <xdr:col>5</xdr:col>
      <xdr:colOff>1143000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866900" y="2743200"/>
        <a:ext cx="4352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rep.ucdavis.edu/Users\brodt\AppData\Local\Microsoft\Windows\Temporary%20Internet%20Files\Content.Outlook\SF8APEN3\honey%20model%20BEEKEEPING%20for%20Klaas%20Jan,%20May%20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rep.ucdavis.edu/Users\ALISSA~1\AppData\Local\Temp\user%20tool%20for%20SD%20county%20produc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Hive Management"/>
      <sheetName val="Travel"/>
      <sheetName val="Extraction"/>
      <sheetName val="LCI"/>
    </sheetNames>
    <sheetDataSet>
      <sheetData sheetId="1">
        <row r="28">
          <cell r="E28">
            <v>58.352519577535524</v>
          </cell>
          <cell r="F28">
            <v>82.66735924756313</v>
          </cell>
          <cell r="G28">
            <v>0.5015063789000135</v>
          </cell>
          <cell r="H28">
            <v>1.7133945926689809</v>
          </cell>
          <cell r="I28">
            <v>0.049294194886265755</v>
          </cell>
          <cell r="J28">
            <v>167.8705189232225</v>
          </cell>
          <cell r="K28">
            <v>154.58714134464387</v>
          </cell>
          <cell r="L28">
            <v>8.457089065666494</v>
          </cell>
          <cell r="M28">
            <v>31.16349935941575</v>
          </cell>
          <cell r="N28">
            <v>23.55708201984159</v>
          </cell>
          <cell r="O28">
            <v>343.25034125721294</v>
          </cell>
        </row>
      </sheetData>
      <sheetData sheetId="2">
        <row r="37">
          <cell r="J37">
            <v>108.3096750045726</v>
          </cell>
          <cell r="K37">
            <v>0.07934420174933832</v>
          </cell>
          <cell r="L37">
            <v>0.013025952560088884</v>
          </cell>
          <cell r="M37">
            <v>0.0005024976007669607</v>
          </cell>
          <cell r="N37">
            <v>155.83161342019199</v>
          </cell>
          <cell r="O37">
            <v>695.1625182947296</v>
          </cell>
          <cell r="P37">
            <v>3.27633740089248</v>
          </cell>
          <cell r="Q37">
            <v>9.198378095565594</v>
          </cell>
          <cell r="R37">
            <v>0</v>
          </cell>
          <cell r="S37">
            <v>165.59288145095883</v>
          </cell>
          <cell r="T37">
            <v>0</v>
          </cell>
        </row>
        <row r="38">
          <cell r="F38">
            <v>4</v>
          </cell>
          <cell r="H38">
            <v>4</v>
          </cell>
        </row>
        <row r="39">
          <cell r="F39">
            <v>8</v>
          </cell>
          <cell r="H39">
            <v>8</v>
          </cell>
        </row>
      </sheetData>
      <sheetData sheetId="3">
        <row r="16">
          <cell r="E16">
            <v>517.9311856725552</v>
          </cell>
          <cell r="F16">
            <v>18.535339042326186</v>
          </cell>
          <cell r="G16">
            <v>0.023800964000000008</v>
          </cell>
          <cell r="H16">
            <v>11.578957672760302</v>
          </cell>
          <cell r="I16">
            <v>0.12729052892092246</v>
          </cell>
          <cell r="J16">
            <v>27.501324950069755</v>
          </cell>
          <cell r="K16">
            <v>146.18968909984505</v>
          </cell>
          <cell r="L16">
            <v>0.7508700072817953</v>
          </cell>
          <cell r="M16">
            <v>1.6694868583081042</v>
          </cell>
          <cell r="N16">
            <v>0.18800168262188843</v>
          </cell>
          <cell r="O16">
            <v>19.07212334715861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me Page"/>
      <sheetName val="Honey Production - User Input"/>
      <sheetName val="Honey Production - Results"/>
      <sheetName val="Transport. - Input &amp; results"/>
      <sheetName val="Packaging - User Input"/>
      <sheetName val="Packaging - Results"/>
      <sheetName val="Total results"/>
      <sheetName val="General info"/>
      <sheetName val="Hive Management"/>
      <sheetName val="Extraction"/>
      <sheetName val="Packaging"/>
      <sheetName val="LCI"/>
      <sheetName val="Sheet2"/>
      <sheetName val="Sheet1"/>
    </sheetNames>
    <sheetDataSet>
      <sheetData sheetId="1">
        <row r="63">
          <cell r="A63" t="str">
            <v>Electricity</v>
          </cell>
          <cell r="B63">
            <v>0</v>
          </cell>
        </row>
        <row r="64">
          <cell r="A64" t="str">
            <v>Propane</v>
          </cell>
          <cell r="B64">
            <v>0</v>
          </cell>
        </row>
        <row r="65">
          <cell r="A65" t="str">
            <v>Please select energy source</v>
          </cell>
        </row>
        <row r="66">
          <cell r="A66" t="str">
            <v>Please select energy source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babees.org/nonnavpages/recipes.html" TargetMode="External" /><Relationship Id="rId2" Type="http://schemas.openxmlformats.org/officeDocument/2006/relationships/hyperlink" Target="http://pubchem.ncbi.nlm.nih.gov/summary/summary.cgi?cid=1254&amp;loc=ec_rcs" TargetMode="External" /><Relationship Id="rId3" Type="http://schemas.openxmlformats.org/officeDocument/2006/relationships/hyperlink" Target="http://pubchem.ncbi.nlm.nih.gov/summary/summary.cgi?cid=1254&amp;loc=ec_rcs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B1:P16"/>
  <sheetViews>
    <sheetView tabSelected="1" zoomScalePageLayoutView="0" workbookViewId="0" topLeftCell="A1">
      <selection activeCell="N17" sqref="N17"/>
    </sheetView>
  </sheetViews>
  <sheetFormatPr defaultColWidth="8.8515625" defaultRowHeight="15"/>
  <cols>
    <col min="1" max="16384" width="8.8515625" style="90" customWidth="1"/>
  </cols>
  <sheetData>
    <row r="1" spans="2:8" ht="23.25">
      <c r="B1" s="262" t="s">
        <v>508</v>
      </c>
      <c r="C1" s="262"/>
      <c r="D1" s="262"/>
      <c r="E1" s="262"/>
      <c r="F1" s="262"/>
      <c r="G1" s="262"/>
      <c r="H1" s="139" t="s">
        <v>487</v>
      </c>
    </row>
    <row r="2" spans="2:8" ht="33" customHeight="1">
      <c r="B2" s="260" t="s">
        <v>509</v>
      </c>
      <c r="C2" s="261"/>
      <c r="D2" s="261"/>
      <c r="E2" s="261"/>
      <c r="F2" s="261"/>
      <c r="G2" s="261"/>
      <c r="H2" s="139" t="s">
        <v>488</v>
      </c>
    </row>
    <row r="3" ht="24.75" customHeight="1"/>
    <row r="4" ht="28.5" customHeight="1"/>
    <row r="5" spans="2:16" ht="27" customHeight="1">
      <c r="B5" s="140" t="s">
        <v>486</v>
      </c>
      <c r="C5" s="140"/>
      <c r="D5" s="140"/>
      <c r="E5" s="258">
        <v>1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2:16" ht="27" customHeight="1">
      <c r="B6" s="140" t="s">
        <v>494</v>
      </c>
      <c r="C6" s="140"/>
      <c r="D6" s="140"/>
      <c r="E6" s="258">
        <v>1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2:16" ht="27" customHeight="1"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2:16" ht="29.25" customHeight="1">
      <c r="B8" s="263" t="s">
        <v>491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59">
        <v>1</v>
      </c>
      <c r="O8" s="140"/>
      <c r="P8" s="140"/>
    </row>
    <row r="9" spans="2:16" ht="15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</row>
    <row r="10" spans="2:16" ht="15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</row>
    <row r="11" spans="2:16" ht="15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</row>
    <row r="12" spans="2:16" ht="15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</row>
    <row r="13" spans="2:16" ht="15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</row>
    <row r="14" spans="2:16" ht="15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</row>
    <row r="16" ht="15">
      <c r="B16" s="90" t="s">
        <v>510</v>
      </c>
    </row>
  </sheetData>
  <sheetProtection password="C442" sheet="1"/>
  <mergeCells count="3">
    <mergeCell ref="B2:G2"/>
    <mergeCell ref="B1:G1"/>
    <mergeCell ref="B8:M8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S33"/>
  <sheetViews>
    <sheetView zoomScalePageLayoutView="0" workbookViewId="0" topLeftCell="B1">
      <selection activeCell="C32" sqref="C32"/>
    </sheetView>
  </sheetViews>
  <sheetFormatPr defaultColWidth="8.7109375" defaultRowHeight="15"/>
  <cols>
    <col min="1" max="1" width="8.7109375" style="0" customWidth="1"/>
    <col min="2" max="2" width="24.421875" style="0" customWidth="1"/>
    <col min="3" max="3" width="15.00390625" style="0" customWidth="1"/>
  </cols>
  <sheetData>
    <row r="1" spans="2:3" s="7" customFormat="1" ht="15">
      <c r="B1" s="7" t="s">
        <v>19</v>
      </c>
      <c r="C1" s="7" t="s">
        <v>43</v>
      </c>
    </row>
    <row r="2" spans="2:19" ht="15">
      <c r="B2" t="s">
        <v>20</v>
      </c>
      <c r="C2" s="2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2:19" ht="15">
      <c r="B3" t="s">
        <v>239</v>
      </c>
      <c r="C3" s="22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ht="15">
      <c r="B4" t="s">
        <v>240</v>
      </c>
      <c r="C4" s="22">
        <v>1</v>
      </c>
      <c r="D4" t="s">
        <v>243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2:19" ht="15">
      <c r="B5" t="str">
        <f>B4</f>
        <v>Amount of honey last year</v>
      </c>
      <c r="C5" s="22">
        <f>IF(D4="lb",C4*0.45359237,C4)</f>
        <v>0.45359237</v>
      </c>
      <c r="D5" t="s">
        <v>61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2:19" ht="15">
      <c r="B6" t="s">
        <v>288</v>
      </c>
      <c r="C6" s="2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2:19" s="28" customFormat="1" ht="15">
      <c r="B7" s="28" t="s">
        <v>292</v>
      </c>
      <c r="C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2:19" ht="15">
      <c r="B8" t="s">
        <v>293</v>
      </c>
      <c r="C8" s="9">
        <f>'[1]Travel'!F38</f>
        <v>4</v>
      </c>
      <c r="D8" t="s">
        <v>294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ht="15">
      <c r="B9" t="s">
        <v>295</v>
      </c>
      <c r="C9" s="9">
        <f>'[1]Travel'!H38</f>
        <v>4</v>
      </c>
      <c r="D9" t="s">
        <v>296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2:18" ht="15">
      <c r="B10" t="s">
        <v>297</v>
      </c>
      <c r="C10" s="9">
        <f>'[1]Travel'!F39</f>
        <v>8</v>
      </c>
      <c r="D10" t="s">
        <v>294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4" ht="15">
      <c r="B11" t="s">
        <v>236</v>
      </c>
      <c r="C11" s="9">
        <f>'[1]Travel'!H39</f>
        <v>8</v>
      </c>
      <c r="D11" t="s">
        <v>296</v>
      </c>
    </row>
    <row r="13" spans="4:14" ht="15">
      <c r="D13" s="8" t="s">
        <v>283</v>
      </c>
      <c r="E13" s="8" t="s">
        <v>161</v>
      </c>
      <c r="F13" s="8" t="s">
        <v>162</v>
      </c>
      <c r="G13" s="8" t="s">
        <v>321</v>
      </c>
      <c r="H13" s="8" t="s">
        <v>16</v>
      </c>
      <c r="I13" s="8" t="s">
        <v>163</v>
      </c>
      <c r="J13" s="8" t="s">
        <v>164</v>
      </c>
      <c r="K13" s="8" t="s">
        <v>165</v>
      </c>
      <c r="L13" s="8" t="s">
        <v>101</v>
      </c>
      <c r="M13" s="8" t="s">
        <v>102</v>
      </c>
      <c r="N13" s="8" t="s">
        <v>103</v>
      </c>
    </row>
    <row r="14" spans="4:14" ht="15">
      <c r="D14" s="8" t="s">
        <v>60</v>
      </c>
      <c r="E14" s="8" t="s">
        <v>61</v>
      </c>
      <c r="F14" s="8" t="s">
        <v>61</v>
      </c>
      <c r="G14" s="8" t="s">
        <v>60</v>
      </c>
      <c r="H14" s="8" t="s">
        <v>60</v>
      </c>
      <c r="I14" s="8" t="s">
        <v>60</v>
      </c>
      <c r="J14" s="8" t="s">
        <v>60</v>
      </c>
      <c r="K14" s="8" t="s">
        <v>60</v>
      </c>
      <c r="L14" s="8" t="s">
        <v>60</v>
      </c>
      <c r="M14" s="8" t="s">
        <v>60</v>
      </c>
      <c r="N14" s="8" t="s">
        <v>60</v>
      </c>
    </row>
    <row r="15" spans="2:14" ht="15">
      <c r="B15" t="s">
        <v>154</v>
      </c>
      <c r="D15">
        <f>'[1]Hive Management'!E28</f>
        <v>58.352519577535524</v>
      </c>
      <c r="E15">
        <f>'[1]Hive Management'!F28</f>
        <v>82.66735924756313</v>
      </c>
      <c r="F15">
        <f>'[1]Hive Management'!G28</f>
        <v>0.5015063789000135</v>
      </c>
      <c r="G15">
        <f>'[1]Hive Management'!H28</f>
        <v>1.7133945926689809</v>
      </c>
      <c r="H15">
        <f>'[1]Hive Management'!I28</f>
        <v>0.049294194886265755</v>
      </c>
      <c r="I15">
        <f>'[1]Hive Management'!J28</f>
        <v>167.8705189232225</v>
      </c>
      <c r="J15">
        <f>'[1]Hive Management'!K28</f>
        <v>154.58714134464387</v>
      </c>
      <c r="K15">
        <f>'[1]Hive Management'!L28</f>
        <v>8.457089065666494</v>
      </c>
      <c r="L15">
        <f>'[1]Hive Management'!M28</f>
        <v>31.16349935941575</v>
      </c>
      <c r="M15">
        <f>'[1]Hive Management'!N28</f>
        <v>23.55708201984159</v>
      </c>
      <c r="N15">
        <f>'[1]Hive Management'!O28</f>
        <v>343.25034125721294</v>
      </c>
    </row>
    <row r="16" spans="2:14" ht="15">
      <c r="B16" t="s">
        <v>155</v>
      </c>
      <c r="D16">
        <f>'[1]Travel'!J37</f>
        <v>108.3096750045726</v>
      </c>
      <c r="E16">
        <f>'[1]Travel'!K37</f>
        <v>0.07934420174933832</v>
      </c>
      <c r="F16">
        <f>'[1]Travel'!L37</f>
        <v>0.013025952560088884</v>
      </c>
      <c r="G16">
        <f>'[1]Travel'!M37</f>
        <v>0.0005024976007669607</v>
      </c>
      <c r="H16">
        <f>'[1]Travel'!N37</f>
        <v>155.83161342019199</v>
      </c>
      <c r="I16">
        <f>'[1]Travel'!O37</f>
        <v>695.1625182947296</v>
      </c>
      <c r="J16">
        <f>'[1]Travel'!P37</f>
        <v>3.27633740089248</v>
      </c>
      <c r="K16">
        <f>'[1]Travel'!Q37</f>
        <v>9.198378095565594</v>
      </c>
      <c r="L16">
        <f>'[1]Travel'!R37</f>
        <v>0</v>
      </c>
      <c r="M16">
        <f>'[1]Travel'!S37</f>
        <v>165.59288145095883</v>
      </c>
      <c r="N16">
        <f>'[1]Travel'!T37</f>
        <v>0</v>
      </c>
    </row>
    <row r="17" spans="2:14" ht="15">
      <c r="B17" t="s">
        <v>156</v>
      </c>
      <c r="D17">
        <f>'[1]Extraction'!E16</f>
        <v>517.9311856725552</v>
      </c>
      <c r="E17">
        <f>'[1]Extraction'!F16</f>
        <v>18.535339042326186</v>
      </c>
      <c r="F17">
        <f>'[1]Extraction'!G16</f>
        <v>0.023800964000000008</v>
      </c>
      <c r="G17">
        <f>'[1]Extraction'!H16</f>
        <v>11.578957672760302</v>
      </c>
      <c r="H17">
        <f>'[1]Extraction'!I16</f>
        <v>0.12729052892092246</v>
      </c>
      <c r="I17">
        <f>'[1]Extraction'!J16</f>
        <v>27.501324950069755</v>
      </c>
      <c r="J17">
        <f>'[1]Extraction'!K16</f>
        <v>146.18968909984505</v>
      </c>
      <c r="K17">
        <f>'[1]Extraction'!L16</f>
        <v>0.7508700072817953</v>
      </c>
      <c r="L17">
        <f>'[1]Extraction'!M16</f>
        <v>1.6694868583081042</v>
      </c>
      <c r="M17">
        <f>'[1]Extraction'!N16</f>
        <v>0.18800168262188843</v>
      </c>
      <c r="N17">
        <f>'[1]Extraction'!O16</f>
        <v>19.07212334715861</v>
      </c>
    </row>
    <row r="18" spans="2:14" s="7" customFormat="1" ht="15">
      <c r="B18" s="7" t="s">
        <v>360</v>
      </c>
      <c r="D18" s="7">
        <f>SUM(D15:D17)</f>
        <v>684.5933802546633</v>
      </c>
      <c r="E18" s="7">
        <f aca="true" t="shared" si="0" ref="E18:N18">SUM(E15:E17)</f>
        <v>101.28204249163865</v>
      </c>
      <c r="F18" s="7">
        <f t="shared" si="0"/>
        <v>0.5383332954601023</v>
      </c>
      <c r="G18" s="7">
        <f t="shared" si="0"/>
        <v>13.29285476303005</v>
      </c>
      <c r="H18" s="7">
        <f t="shared" si="0"/>
        <v>156.00819814399918</v>
      </c>
      <c r="I18" s="7">
        <f t="shared" si="0"/>
        <v>890.5343621680219</v>
      </c>
      <c r="J18" s="7">
        <f t="shared" si="0"/>
        <v>304.0531678453814</v>
      </c>
      <c r="K18" s="7">
        <f t="shared" si="0"/>
        <v>18.406337168513883</v>
      </c>
      <c r="L18" s="7">
        <f t="shared" si="0"/>
        <v>32.83298621772385</v>
      </c>
      <c r="M18" s="7">
        <f t="shared" si="0"/>
        <v>189.33796515342232</v>
      </c>
      <c r="N18" s="7">
        <f t="shared" si="0"/>
        <v>362.32246460437153</v>
      </c>
    </row>
    <row r="19" s="7" customFormat="1" ht="15"/>
    <row r="20" ht="15">
      <c r="B20" t="s">
        <v>361</v>
      </c>
    </row>
    <row r="21" spans="2:14" ht="15">
      <c r="B21" t="s">
        <v>362</v>
      </c>
      <c r="D21">
        <f aca="true" t="shared" si="1" ref="D21:N21">D18/$C4</f>
        <v>684.5933802546633</v>
      </c>
      <c r="E21">
        <f t="shared" si="1"/>
        <v>101.28204249163865</v>
      </c>
      <c r="F21">
        <f t="shared" si="1"/>
        <v>0.5383332954601023</v>
      </c>
      <c r="G21">
        <f t="shared" si="1"/>
        <v>13.29285476303005</v>
      </c>
      <c r="H21">
        <f t="shared" si="1"/>
        <v>156.00819814399918</v>
      </c>
      <c r="I21">
        <f t="shared" si="1"/>
        <v>890.5343621680219</v>
      </c>
      <c r="J21">
        <f t="shared" si="1"/>
        <v>304.0531678453814</v>
      </c>
      <c r="K21">
        <f t="shared" si="1"/>
        <v>18.406337168513883</v>
      </c>
      <c r="L21">
        <f t="shared" si="1"/>
        <v>32.83298621772385</v>
      </c>
      <c r="M21">
        <f t="shared" si="1"/>
        <v>189.33796515342232</v>
      </c>
      <c r="N21">
        <f t="shared" si="1"/>
        <v>362.32246460437153</v>
      </c>
    </row>
    <row r="22" spans="2:14" ht="15">
      <c r="B22" t="s">
        <v>247</v>
      </c>
      <c r="D22">
        <f aca="true" t="shared" si="2" ref="D22:N22">D18/$C5</f>
        <v>1509.2700528773516</v>
      </c>
      <c r="E22">
        <f t="shared" si="2"/>
        <v>223.2886820641155</v>
      </c>
      <c r="F22">
        <f t="shared" si="2"/>
        <v>1.1868217612657423</v>
      </c>
      <c r="G22">
        <f t="shared" si="2"/>
        <v>29.305728319526295</v>
      </c>
      <c r="H22">
        <f t="shared" si="2"/>
        <v>343.9392028221268</v>
      </c>
      <c r="I22">
        <f t="shared" si="2"/>
        <v>1963.2922003692915</v>
      </c>
      <c r="J22">
        <f t="shared" si="2"/>
        <v>670.3224920767105</v>
      </c>
      <c r="K22">
        <f t="shared" si="2"/>
        <v>40.579027307081645</v>
      </c>
      <c r="L22">
        <f t="shared" si="2"/>
        <v>72.38434415844307</v>
      </c>
      <c r="M22">
        <f t="shared" si="2"/>
        <v>417.41876115205</v>
      </c>
      <c r="N22">
        <f t="shared" si="2"/>
        <v>798.7843018707998</v>
      </c>
    </row>
    <row r="23" spans="2:14" ht="15">
      <c r="B23" t="s">
        <v>427</v>
      </c>
      <c r="D23">
        <f aca="true" t="shared" si="3" ref="D23:N23">D18/$C3</f>
        <v>684.5933802546633</v>
      </c>
      <c r="E23">
        <f t="shared" si="3"/>
        <v>101.28204249163865</v>
      </c>
      <c r="F23">
        <f t="shared" si="3"/>
        <v>0.5383332954601023</v>
      </c>
      <c r="G23">
        <f t="shared" si="3"/>
        <v>13.29285476303005</v>
      </c>
      <c r="H23">
        <f t="shared" si="3"/>
        <v>156.00819814399918</v>
      </c>
      <c r="I23">
        <f t="shared" si="3"/>
        <v>890.5343621680219</v>
      </c>
      <c r="J23">
        <f t="shared" si="3"/>
        <v>304.0531678453814</v>
      </c>
      <c r="K23">
        <f t="shared" si="3"/>
        <v>18.406337168513883</v>
      </c>
      <c r="L23">
        <f t="shared" si="3"/>
        <v>32.83298621772385</v>
      </c>
      <c r="M23">
        <f t="shared" si="3"/>
        <v>189.33796515342232</v>
      </c>
      <c r="N23">
        <f t="shared" si="3"/>
        <v>362.32246460437153</v>
      </c>
    </row>
    <row r="25" spans="2:16" s="31" customFormat="1" ht="15">
      <c r="B25" s="31" t="s">
        <v>120</v>
      </c>
      <c r="D25" s="31">
        <f aca="true" t="shared" si="4" ref="D25:N25">D18*C7</f>
        <v>0</v>
      </c>
      <c r="E25" s="31">
        <f t="shared" si="4"/>
        <v>0</v>
      </c>
      <c r="F25" s="31">
        <f t="shared" si="4"/>
        <v>0</v>
      </c>
      <c r="G25" s="31">
        <f t="shared" si="4"/>
        <v>0</v>
      </c>
      <c r="H25" s="31">
        <f t="shared" si="4"/>
        <v>0</v>
      </c>
      <c r="I25" s="31">
        <f t="shared" si="4"/>
        <v>0</v>
      </c>
      <c r="J25" s="31">
        <f t="shared" si="4"/>
        <v>0</v>
      </c>
      <c r="K25" s="31">
        <f t="shared" si="4"/>
        <v>0</v>
      </c>
      <c r="L25" s="31">
        <f t="shared" si="4"/>
        <v>0</v>
      </c>
      <c r="M25" s="31">
        <f t="shared" si="4"/>
        <v>0</v>
      </c>
      <c r="N25" s="31">
        <f t="shared" si="4"/>
        <v>0</v>
      </c>
      <c r="P25" s="31" t="s">
        <v>258</v>
      </c>
    </row>
    <row r="26" spans="2:14" ht="15">
      <c r="B26" t="s">
        <v>259</v>
      </c>
      <c r="D26">
        <f aca="true" t="shared" si="5" ref="D26:N26">D25/$C5</f>
        <v>0</v>
      </c>
      <c r="E26">
        <f t="shared" si="5"/>
        <v>0</v>
      </c>
      <c r="F26">
        <f t="shared" si="5"/>
        <v>0</v>
      </c>
      <c r="G26">
        <f t="shared" si="5"/>
        <v>0</v>
      </c>
      <c r="H26">
        <f t="shared" si="5"/>
        <v>0</v>
      </c>
      <c r="I26">
        <f t="shared" si="5"/>
        <v>0</v>
      </c>
      <c r="J26">
        <f t="shared" si="5"/>
        <v>0</v>
      </c>
      <c r="K26">
        <f t="shared" si="5"/>
        <v>0</v>
      </c>
      <c r="L26">
        <f t="shared" si="5"/>
        <v>0</v>
      </c>
      <c r="M26">
        <f t="shared" si="5"/>
        <v>0</v>
      </c>
      <c r="N26">
        <f t="shared" si="5"/>
        <v>0</v>
      </c>
    </row>
    <row r="27" spans="2:14" ht="15">
      <c r="B27" t="s">
        <v>260</v>
      </c>
      <c r="D27">
        <f aca="true" t="shared" si="6" ref="D27:N27">D25/$C3</f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6"/>
        <v>0</v>
      </c>
    </row>
    <row r="30" ht="15">
      <c r="B30" t="s">
        <v>97</v>
      </c>
    </row>
    <row r="31" spans="2:3" ht="15">
      <c r="B31" t="s">
        <v>226</v>
      </c>
      <c r="C31">
        <v>1</v>
      </c>
    </row>
    <row r="32" spans="2:3" ht="15">
      <c r="B32" t="s">
        <v>163</v>
      </c>
      <c r="C32">
        <v>25</v>
      </c>
    </row>
    <row r="33" spans="2:3" ht="15">
      <c r="B33" t="s">
        <v>165</v>
      </c>
      <c r="C33">
        <v>298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B2:S45"/>
  <sheetViews>
    <sheetView zoomScalePageLayoutView="0" workbookViewId="0" topLeftCell="A7">
      <selection activeCell="F9" sqref="F9"/>
    </sheetView>
  </sheetViews>
  <sheetFormatPr defaultColWidth="8.7109375" defaultRowHeight="15"/>
  <cols>
    <col min="1" max="1" width="3.28125" style="0" customWidth="1"/>
    <col min="2" max="2" width="47.140625" style="0" customWidth="1"/>
    <col min="3" max="3" width="44.7109375" style="0" customWidth="1"/>
    <col min="4" max="4" width="10.00390625" style="0" customWidth="1"/>
    <col min="5" max="5" width="21.7109375" style="0" customWidth="1"/>
    <col min="6" max="6" width="8.28125" style="0" customWidth="1"/>
    <col min="7" max="7" width="8.7109375" style="0" customWidth="1"/>
    <col min="8" max="18" width="8.7109375" style="8" customWidth="1"/>
    <col min="19" max="19" width="8.7109375" style="9" customWidth="1"/>
  </cols>
  <sheetData>
    <row r="2" spans="2:18" ht="15">
      <c r="B2" s="3" t="s">
        <v>187</v>
      </c>
      <c r="C2" t="s">
        <v>191</v>
      </c>
      <c r="D2" t="s">
        <v>192</v>
      </c>
      <c r="F2" t="s">
        <v>325</v>
      </c>
      <c r="G2" t="s">
        <v>326</v>
      </c>
      <c r="H2" s="8" t="s">
        <v>283</v>
      </c>
      <c r="I2" s="8" t="s">
        <v>161</v>
      </c>
      <c r="J2" s="8" t="s">
        <v>162</v>
      </c>
      <c r="K2" s="8" t="s">
        <v>321</v>
      </c>
      <c r="L2" s="8" t="s">
        <v>16</v>
      </c>
      <c r="M2" s="8" t="s">
        <v>163</v>
      </c>
      <c r="N2" s="8" t="s">
        <v>164</v>
      </c>
      <c r="O2" s="8" t="s">
        <v>165</v>
      </c>
      <c r="P2" s="8" t="s">
        <v>101</v>
      </c>
      <c r="Q2" s="8" t="s">
        <v>102</v>
      </c>
      <c r="R2" s="8" t="s">
        <v>103</v>
      </c>
    </row>
    <row r="3" spans="2:18" ht="15">
      <c r="B3" s="3"/>
      <c r="H3" s="8" t="s">
        <v>60</v>
      </c>
      <c r="I3" s="8" t="s">
        <v>61</v>
      </c>
      <c r="J3" s="8" t="s">
        <v>61</v>
      </c>
      <c r="K3" s="8" t="s">
        <v>60</v>
      </c>
      <c r="L3" s="8" t="s">
        <v>60</v>
      </c>
      <c r="M3" s="8" t="s">
        <v>60</v>
      </c>
      <c r="N3" s="8" t="s">
        <v>60</v>
      </c>
      <c r="O3" s="8" t="s">
        <v>60</v>
      </c>
      <c r="P3" s="8" t="s">
        <v>60</v>
      </c>
      <c r="Q3" s="8" t="s">
        <v>60</v>
      </c>
      <c r="R3" s="8" t="s">
        <v>60</v>
      </c>
    </row>
    <row r="4" spans="2:18" ht="15">
      <c r="B4" t="s">
        <v>188</v>
      </c>
      <c r="C4" s="2" t="s">
        <v>445</v>
      </c>
      <c r="D4" t="s">
        <v>446</v>
      </c>
      <c r="F4" s="27">
        <f>IF(ISNUMBER(SEARCH("sugar syrup",'Honey Production - User Input'!A$13)),'Honey Production - User Input'!B$13,IF(ISNUMBER(SEARCH("sugar syrup",'Honey Production - User Input'!A$14)),'Honey Production - User Input'!B$14,IF(ISNUMBER(SEARCH("sugar syrup",'Honey Production - User Input'!A$15)),'Honey Production - User Input'!B$15,IF(ISNUMBER(SEARCH("sugar syrup",'Honey Production - User Input'!$A16)),'Honey Production - User Input'!B$16,IF(ISNUMBER(SEARCH("sugar syrup",'Honey Production - User Input'!A$17)),'Honey Production - User Input'!B$17,IF(ISNUMBER(SEARCH("sugar syrup",'Honey Production - User Input'!A$18)),'Honey Production - User Input'!B$18,0))))))/2.2046</f>
        <v>0</v>
      </c>
      <c r="G4" t="s">
        <v>61</v>
      </c>
      <c r="H4" s="8">
        <f>$F$4*LCI!G6</f>
        <v>0</v>
      </c>
      <c r="I4" s="8">
        <f>$F$4*LCI!H6</f>
        <v>0</v>
      </c>
      <c r="J4" s="8">
        <f>$F$4*LCI!I6</f>
        <v>0</v>
      </c>
      <c r="K4" s="8">
        <f>$F$4*LCI!J6</f>
        <v>0</v>
      </c>
      <c r="L4" s="8">
        <f>$F$4*LCI!K6</f>
        <v>0</v>
      </c>
      <c r="M4" s="8">
        <f>$F$4*LCI!L6</f>
        <v>0</v>
      </c>
      <c r="N4" s="8">
        <f>$F$4*LCI!M6</f>
        <v>0</v>
      </c>
      <c r="O4" s="8">
        <f>$F$4*LCI!N6</f>
        <v>0</v>
      </c>
      <c r="P4" s="8">
        <f>$F$4*LCI!O6</f>
        <v>0</v>
      </c>
      <c r="Q4" s="8">
        <f>$F$4*LCI!P6</f>
        <v>0</v>
      </c>
      <c r="R4" s="8">
        <f>$F$4*LCI!Q6</f>
        <v>0</v>
      </c>
    </row>
    <row r="5" spans="2:18" ht="15">
      <c r="B5" t="s">
        <v>359</v>
      </c>
      <c r="C5" t="s">
        <v>284</v>
      </c>
      <c r="D5" s="10" t="s">
        <v>217</v>
      </c>
      <c r="E5" s="10"/>
      <c r="F5" s="27">
        <f>IF(ISNUMBER(SEARCH("pollen-substitute patties (No pollen)",'Honey Production - User Input'!A$13)),'Honey Production - User Input'!B$13,IF(ISNUMBER(SEARCH("pollen-substitute patties (No pollen)",'Honey Production - User Input'!A$14)),'Honey Production - User Input'!B$14,IF(ISNUMBER(SEARCH("pollen-substitute patties (No pollen)",'Honey Production - User Input'!A$15)),'Honey Production - User Input'!B$15,IF(ISNUMBER(SEARCH("pollen-substitute patties (No pollen)",'Honey Production - User Input'!$A17)),'Honey Production - User Input'!B$16,IF(ISNUMBER(SEARCH("pollen-substitute patties (No pollen)",'Honey Production - User Input'!A$17)),'Honey Production - User Input'!B$17,IF(ISNUMBER(SEARCH("pollen-substitute patties (No pollen)",'Honey Production - User Input'!A$18)),'Honey Production - User Input'!B$18,0))))))/2.2046</f>
        <v>0</v>
      </c>
      <c r="G5" t="s">
        <v>61</v>
      </c>
      <c r="H5" s="11">
        <f>$F$5*LCI!G10</f>
        <v>0</v>
      </c>
      <c r="I5" s="11">
        <f>$F$5*LCI!H10</f>
        <v>0</v>
      </c>
      <c r="J5" s="19">
        <f>$F$5*LCI!I10</f>
        <v>0</v>
      </c>
      <c r="K5" s="11">
        <f>$F$5*LCI!J10</f>
        <v>0</v>
      </c>
      <c r="L5" s="11">
        <f>$F$5*LCI!K10</f>
        <v>0</v>
      </c>
      <c r="M5" s="11">
        <f>$F$5*LCI!L10</f>
        <v>0</v>
      </c>
      <c r="N5" s="11">
        <f>$F$5*LCI!M10</f>
        <v>0</v>
      </c>
      <c r="O5" s="11">
        <f>$F$5*LCI!N10</f>
        <v>0</v>
      </c>
      <c r="P5" s="11">
        <f>$F$5*LCI!O10</f>
        <v>0</v>
      </c>
      <c r="Q5" s="11">
        <f>$F$5*LCI!P10</f>
        <v>0</v>
      </c>
      <c r="R5" s="11">
        <f>$F$5*LCI!Q10</f>
        <v>0</v>
      </c>
    </row>
    <row r="6" spans="2:7" ht="15">
      <c r="B6" t="s">
        <v>190</v>
      </c>
      <c r="C6" t="s">
        <v>158</v>
      </c>
      <c r="F6" s="27">
        <f>IF(ISNUMBER(SEARCH("honey",'Honey Production - User Input'!A$13)),'Honey Production - User Input'!B$13,IF(ISNUMBER(SEARCH("honey",'Honey Production - User Input'!A$14)),'Honey Production - User Input'!B$14,IF(ISNUMBER(SEARCH("honey",'Honey Production - User Input'!A$15)),'Honey Production - User Input'!B$15,IF(ISNUMBER(SEARCH("honey",'Honey Production - User Input'!$A16)),'Honey Production - User Input'!B$16,IF(ISNUMBER(SEARCH("honey",'Honey Production - User Input'!A$17)),'Honey Production - User Input'!B$17,IF(ISNUMBER(SEARCH("honey",'Honey Production - User Input'!A$18)),'Honey Production - User Input'!B$18,0))))))/2.2046</f>
        <v>0</v>
      </c>
      <c r="G6" t="s">
        <v>61</v>
      </c>
    </row>
    <row r="7" spans="2:18" ht="15">
      <c r="B7" t="s">
        <v>282</v>
      </c>
      <c r="F7" s="27">
        <f>IF(ISNUMBER(SEARCH("corn syrup",'Honey Production - User Input'!A$13)),'Honey Production - User Input'!B$13,IF(ISNUMBER(SEARCH("corn syrup",'Honey Production - User Input'!A$14)),'Honey Production - User Input'!B$14,IF(ISNUMBER(SEARCH("corn syrup",'Honey Production - User Input'!A$15)),'Honey Production - User Input'!B$15,IF(ISNUMBER(SEARCH("corn syrup",'Honey Production - User Input'!$A15)),'Honey Production - User Input'!B$16,IF(ISNUMBER(SEARCH("corn syrup",'Honey Production - User Input'!A$16)),'Honey Production - User Input'!B$17,IF(ISNUMBER(SEARCH("corn syrup",'Honey Production - User Input'!A$18)),'Honey Production - User Input'!B$18,0))))))/2.2046</f>
        <v>0</v>
      </c>
      <c r="G7" t="s">
        <v>61</v>
      </c>
      <c r="H7" s="8">
        <f>$F7*LCI!G7</f>
        <v>0</v>
      </c>
      <c r="I7" s="8">
        <f>$F7*LCI!H7</f>
        <v>0</v>
      </c>
      <c r="J7" s="8">
        <f>$F7*LCI!I7</f>
        <v>0</v>
      </c>
      <c r="K7" s="8">
        <f>$F7*LCI!J7</f>
        <v>0</v>
      </c>
      <c r="L7" s="8">
        <f>$F7*LCI!K7</f>
        <v>0</v>
      </c>
      <c r="M7" s="8">
        <f>$F7*LCI!L7</f>
        <v>0</v>
      </c>
      <c r="N7" s="8">
        <f>$F7*LCI!M7</f>
        <v>0</v>
      </c>
      <c r="O7" s="8">
        <f>$F7*LCI!N7</f>
        <v>0</v>
      </c>
      <c r="P7" s="8">
        <f>$F7*LCI!O7</f>
        <v>0</v>
      </c>
      <c r="Q7" s="8">
        <f>$F7*LCI!P7</f>
        <v>0</v>
      </c>
      <c r="R7" s="8">
        <f>$F7*LCI!Q7</f>
        <v>0</v>
      </c>
    </row>
    <row r="8" spans="2:18" ht="15">
      <c r="B8" t="s">
        <v>21</v>
      </c>
      <c r="C8" t="s">
        <v>37</v>
      </c>
      <c r="F8" s="27">
        <f>IF(ISNUMBER(SEARCH("sucrose (or sugar)",'Honey Production - User Input'!A$13)),'Honey Production - User Input'!B$13,IF(ISNUMBER(SEARCH("sucrose (or sugar)",'Honey Production - User Input'!A$14)),'Honey Production - User Input'!B$14,IF(ISNUMBER(SEARCH("sucrose (or sugar)",'Honey Production - User Input'!A$15)),'Honey Production - User Input'!B$15,IF(ISNUMBER(SEARCH("sucrose (or sugar)",'Honey Production - User Input'!$A16)),'Honey Production - User Input'!B$16,IF(ISNUMBER(SEARCH("sucrose (or sugar)",'Honey Production - User Input'!A$17)),'Honey Production - User Input'!B$17,IF(ISNUMBER(SEARCH("sucrose (or sugar)",'Honey Production - User Input'!A$18)),'Honey Production - User Input'!B$18,0))))))/2.2046</f>
        <v>0</v>
      </c>
      <c r="G8" t="s">
        <v>61</v>
      </c>
      <c r="H8" s="8">
        <f>$F8*LCI!G3</f>
        <v>0</v>
      </c>
      <c r="I8" s="8">
        <f>$F8*LCI!H3</f>
        <v>0</v>
      </c>
      <c r="J8" s="8">
        <f>$F8*LCI!I3</f>
        <v>0</v>
      </c>
      <c r="K8" s="8">
        <f>$F8*LCI!J3</f>
        <v>0</v>
      </c>
      <c r="L8" s="8">
        <f>$F8*LCI!K3</f>
        <v>0</v>
      </c>
      <c r="M8" s="8">
        <f>$F8*LCI!L3</f>
        <v>0</v>
      </c>
      <c r="N8" s="8">
        <f>$F8*LCI!M3</f>
        <v>0</v>
      </c>
      <c r="O8" s="8">
        <f>$F8*LCI!N3</f>
        <v>0</v>
      </c>
      <c r="P8" s="8">
        <f>$F8*LCI!O3</f>
        <v>0</v>
      </c>
      <c r="Q8" s="8">
        <f>$F8*LCI!P3</f>
        <v>0</v>
      </c>
      <c r="R8" s="8">
        <f>$F8*LCI!Q3</f>
        <v>0</v>
      </c>
    </row>
    <row r="9" spans="2:18" ht="15">
      <c r="B9" t="s">
        <v>238</v>
      </c>
      <c r="F9" s="27">
        <f>IF(ISNUMBER(SEARCH("Brewers yeast",'Honey Production - User Input'!A$13)),'Honey Production - User Input'!B$13,IF(ISNUMBER(SEARCH("Brewers yeast",'Honey Production - User Input'!A$14)),'Honey Production - User Input'!B$14,IF(ISNUMBER(SEARCH("Brewers yeast",'Honey Production - User Input'!A$15)),'Honey Production - User Input'!B$15,IF(ISNUMBER(SEARCH("Brewers yeast",'Honey Production - User Input'!$A21)),'Honey Production - User Input'!B$16,IF(ISNUMBER(SEARCH("Brewers yeast",'Honey Production - User Input'!A$17)),'Honey Production - User Input'!B$17,IF(ISNUMBER(SEARCH("Brewers yeast",'Honey Production - User Input'!A$18)),'Honey Production - User Input'!B$18,0))))))/2.2046</f>
        <v>0</v>
      </c>
      <c r="G9" t="s">
        <v>61</v>
      </c>
      <c r="H9" s="8">
        <f>$F9*LCI!G8</f>
        <v>0</v>
      </c>
      <c r="I9" s="8">
        <f>$F9*LCI!H8</f>
        <v>0</v>
      </c>
      <c r="J9" s="8">
        <f>$F9*LCI!I8</f>
        <v>0</v>
      </c>
      <c r="K9" s="8">
        <f>$F9*LCI!J8</f>
        <v>0</v>
      </c>
      <c r="L9" s="8">
        <f>$F9*LCI!K8</f>
        <v>0</v>
      </c>
      <c r="M9" s="8">
        <f>$F9*LCI!L8</f>
        <v>0</v>
      </c>
      <c r="N9" s="8">
        <f>$F9*LCI!M8</f>
        <v>0</v>
      </c>
      <c r="O9" s="8">
        <f>$F9*LCI!N8</f>
        <v>0</v>
      </c>
      <c r="P9" s="8">
        <f>$F9*LCI!O8</f>
        <v>0</v>
      </c>
      <c r="Q9" s="8">
        <f>$F9*LCI!P8</f>
        <v>0</v>
      </c>
      <c r="R9" s="8">
        <f>$F9*LCI!Q8</f>
        <v>0</v>
      </c>
    </row>
    <row r="10" ht="15">
      <c r="F10" s="27"/>
    </row>
    <row r="14" spans="2:5" ht="15">
      <c r="B14" s="1" t="s">
        <v>189</v>
      </c>
      <c r="E14" t="s">
        <v>272</v>
      </c>
    </row>
    <row r="15" spans="2:19" s="4" customFormat="1" ht="15">
      <c r="B15" s="1" t="s">
        <v>24</v>
      </c>
      <c r="C15" s="4" t="s">
        <v>25</v>
      </c>
      <c r="D15" s="4" t="s">
        <v>9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2:18" ht="15">
      <c r="B16" s="5" t="s">
        <v>218</v>
      </c>
      <c r="C16" t="s">
        <v>83</v>
      </c>
      <c r="F16">
        <f>IF(ISNUMBER(SEARCH("vegetable grease",'Honey Production - User Input'!A$21)),'Honey Production - User Input'!B$21,IF(ISNUMBER(SEARCH("vegetable grease",'Honey Production - User Input'!A$22)),'Honey Production - User Input'!B$22,IF(ISNUMBER(SEARCH("vegetable grease",'Honey Production - User Input'!A$23)),'Honey Production - User Input'!B$23,IF(ISNUMBER(SEARCH("vegetable grease",'Honey Production - User Input'!A$24)),'Honey Production - User Input'!B$24,IF(ISNUMBER(SEARCH("vegetable grease",'Honey Production - User Input'!A$25)),'Honey Production - User Input'!B$25,IF(ISNUMBER(SEARCH("vegetable grease",'Honey Production - User Input'!A$26)),'Honey Production - User Input'!B$26,0))))))/2.2046</f>
        <v>0</v>
      </c>
      <c r="G16" t="s">
        <v>61</v>
      </c>
      <c r="H16" s="8">
        <f>$F16*LCI!$G$11</f>
        <v>0</v>
      </c>
      <c r="I16" s="8">
        <f>$F16*LCI!$H$11</f>
        <v>0</v>
      </c>
      <c r="J16" s="8">
        <f>$F16*LCI!I$11</f>
        <v>0</v>
      </c>
      <c r="K16" s="8">
        <f>$F16*LCI!J$11</f>
        <v>0</v>
      </c>
      <c r="L16" s="8">
        <f>$F16*LCI!K$11</f>
        <v>0</v>
      </c>
      <c r="M16" s="8">
        <f>$F16*LCI!L$11</f>
        <v>0</v>
      </c>
      <c r="N16" s="8">
        <f>$F16*LCI!M$11</f>
        <v>0</v>
      </c>
      <c r="O16" s="8">
        <f>$F16*LCI!N$11</f>
        <v>0</v>
      </c>
      <c r="P16" s="8">
        <f>$F16*LCI!O$11</f>
        <v>0</v>
      </c>
      <c r="Q16" s="8">
        <f>$F16*LCI!P$11</f>
        <v>0</v>
      </c>
      <c r="R16" s="8">
        <f>$F16*LCI!Q$11</f>
        <v>0</v>
      </c>
    </row>
    <row r="17" spans="2:18" ht="15">
      <c r="B17" s="5" t="s">
        <v>98</v>
      </c>
      <c r="C17" t="s">
        <v>83</v>
      </c>
      <c r="F17">
        <f>IF(ISNUMBER(SEARCH("vegetable grease",'Honey Production - User Input'!A$27)),'Honey Production - User Input'!B$27,IF(ISNUMBER(SEARCH("vegetable grease",'Honey Production - User Input'!A$28)),'Honey Production - User Input'!B$28,IF(ISNUMBER(SEARCH("vegetable grease",'Honey Production - User Input'!A$29)),'Honey Production - User Input'!B$29,IF(ISNUMBER(SEARCH("vegetable grease",'Honey Production - User Input'!A$30)),'Honey Production - User Input'!B$30,IF(ISNUMBER(SEARCH("vegetable grease",'Honey Production - User Input'!A$31)),'Honey Production - User Input'!B$31,IF(ISNUMBER(SEARCH("vegetable grease",'Honey Production - User Input'!A$32)),'Honey Production - User Input'!B$32,0))))))/2.2046</f>
        <v>0</v>
      </c>
      <c r="G17" t="s">
        <v>61</v>
      </c>
      <c r="H17" s="8">
        <f>$F17*LCI!$G$11</f>
        <v>0</v>
      </c>
      <c r="I17" s="8">
        <f>$F17*LCI!$H$11</f>
        <v>0</v>
      </c>
      <c r="J17" s="8">
        <f>$F17*LCI!I$11</f>
        <v>0</v>
      </c>
      <c r="K17" s="8">
        <f>$F17*LCI!J$11</f>
        <v>0</v>
      </c>
      <c r="L17" s="8">
        <f>$F17*LCI!K$11</f>
        <v>0</v>
      </c>
      <c r="M17" s="8">
        <f>$F17*LCI!L$11</f>
        <v>0</v>
      </c>
      <c r="N17" s="8">
        <f>$F17*LCI!M$11</f>
        <v>0</v>
      </c>
      <c r="O17" s="8">
        <f>$F17*LCI!N$11</f>
        <v>0</v>
      </c>
      <c r="P17" s="8">
        <f>$F17*LCI!O$11</f>
        <v>0</v>
      </c>
      <c r="Q17" s="8">
        <f>$F17*LCI!P$11</f>
        <v>0</v>
      </c>
      <c r="R17" s="8">
        <f>$F17*LCI!Q$11</f>
        <v>0</v>
      </c>
    </row>
    <row r="18" spans="2:19" s="16" customFormat="1" ht="15">
      <c r="B18" s="5" t="s">
        <v>23</v>
      </c>
      <c r="C18" s="16" t="s">
        <v>26</v>
      </c>
      <c r="E18" t="s">
        <v>107</v>
      </c>
      <c r="F18">
        <f>IF(ISNUMBER(SEARCH("Apiguard (thymol)",'Honey Production - User Input'!A$21)),'Honey Production - User Input'!B$21,IF(ISNUMBER(SEARCH("Apiguard (thymol)",'Honey Production - User Input'!A$22)),'Honey Production - User Input'!B$22,IF(ISNUMBER(SEARCH("Apiguard (thymol)",'Honey Production - User Input'!A$23)),'Honey Production - User Input'!B$23,IF(ISNUMBER(SEARCH("Apiguard (thymol)",'Honey Production - User Input'!$A24)),'Honey Production - User Input'!B$24,IF(ISNUMBER(SEARCH("Apiguard (thymol)",'Honey Production - User Input'!A$25)),'Honey Production - User Input'!B$25,IF(ISNUMBER(SEARCH("Apiguard (thymol)",'Honey Production - User Input'!A$26)),'Honey Production - User Input'!B$26,0))))))/2.2046</f>
        <v>0</v>
      </c>
      <c r="G18" s="16" t="s">
        <v>61</v>
      </c>
      <c r="H18" s="17">
        <f>$F18*LCI!G$22</f>
        <v>0</v>
      </c>
      <c r="I18" s="17">
        <f>$F18*LCI!H$22</f>
        <v>0</v>
      </c>
      <c r="J18" s="17">
        <f>$F18*LCI!I$22</f>
        <v>0</v>
      </c>
      <c r="K18" s="17">
        <f>$F18*LCI!J$22</f>
        <v>0</v>
      </c>
      <c r="L18" s="17">
        <f>$F18*LCI!K$22</f>
        <v>0</v>
      </c>
      <c r="M18" s="17">
        <f>$F18*LCI!L$22</f>
        <v>0</v>
      </c>
      <c r="N18" s="17">
        <f>$F18*LCI!M$22</f>
        <v>0</v>
      </c>
      <c r="O18" s="17">
        <f>$F18*LCI!N$22</f>
        <v>0</v>
      </c>
      <c r="P18" s="17">
        <f>$F18*LCI!O$22</f>
        <v>0</v>
      </c>
      <c r="Q18" s="17">
        <f>$F18*LCI!P$22</f>
        <v>0</v>
      </c>
      <c r="R18" s="17">
        <f>$F18*LCI!Q$22</f>
        <v>0</v>
      </c>
      <c r="S18" s="18"/>
    </row>
    <row r="19" spans="2:19" s="16" customFormat="1" ht="15">
      <c r="B19" s="5" t="s">
        <v>100</v>
      </c>
      <c r="C19" s="16" t="s">
        <v>26</v>
      </c>
      <c r="E19" t="s">
        <v>107</v>
      </c>
      <c r="F19">
        <f>IF(ISNUMBER(SEARCH("Apiguard (thymol)",'Honey Production - User Input'!A$27)),'Honey Production - User Input'!B$27,IF(ISNUMBER(SEARCH("Apiguard (thymol)",'Honey Production - User Input'!A$28)),'Honey Production - User Input'!B$28,IF(ISNUMBER(SEARCH("Apiguard (thymol)",'Honey Production - User Input'!A$29)),'Honey Production - User Input'!B$29,IF(ISNUMBER(SEARCH("Apiguard (thymol)",'Honey Production - User Input'!A$30)),'Honey Production - User Input'!B$30,IF(ISNUMBER(SEARCH("Apiguard (thymol)",'Honey Production - User Input'!A$31)),'Honey Production - User Input'!B$31,IF(ISNUMBER(SEARCH("Apiguard (thymol)",'Honey Production - User Input'!A$32)),'Honey Production - User Input'!B$32,0))))))/2.2046</f>
        <v>0</v>
      </c>
      <c r="G19" s="16" t="s">
        <v>61</v>
      </c>
      <c r="H19" s="17">
        <f>$F19*LCI!G$22</f>
        <v>0</v>
      </c>
      <c r="I19" s="17">
        <f>$F19*LCI!H$22</f>
        <v>0</v>
      </c>
      <c r="J19" s="17">
        <f>$F19*LCI!I$22</f>
        <v>0</v>
      </c>
      <c r="K19" s="17">
        <f>$F19*LCI!J$22</f>
        <v>0</v>
      </c>
      <c r="L19" s="17">
        <f>$F19*LCI!K$22</f>
        <v>0</v>
      </c>
      <c r="M19" s="17">
        <f>$F19*LCI!L$22</f>
        <v>0</v>
      </c>
      <c r="N19" s="17">
        <f>$F19*LCI!M$22</f>
        <v>0</v>
      </c>
      <c r="O19" s="17">
        <f>$F19*LCI!N$22</f>
        <v>0</v>
      </c>
      <c r="P19" s="17">
        <f>$F19*LCI!O$22</f>
        <v>0</v>
      </c>
      <c r="Q19" s="17">
        <f>$F19*LCI!P$22</f>
        <v>0</v>
      </c>
      <c r="R19" s="17">
        <f>$F19*LCI!Q$22</f>
        <v>0</v>
      </c>
      <c r="S19" s="18"/>
    </row>
    <row r="20" spans="2:19" s="16" customFormat="1" ht="15">
      <c r="B20" s="5" t="s">
        <v>180</v>
      </c>
      <c r="C20" t="s">
        <v>80</v>
      </c>
      <c r="D20" s="10" t="s">
        <v>105</v>
      </c>
      <c r="E20" t="s">
        <v>106</v>
      </c>
      <c r="F20">
        <f>IF(ISNUMBER(SEARCH("Apilife (VAR thymol, eucalyptol, menthol, camphor)",'Honey Production - User Input'!A$21)),'Honey Production - User Input'!B$21,IF(ISNUMBER(SEARCH("Apilife (VAR thymol, eucalyptol, menthol, camphor)",'Honey Production - User Input'!A$22)),'Honey Production - User Input'!B$22,IF(ISNUMBER(SEARCH("Apilife (VAR thymol, eucalyptol, menthol, camphor)",'Honey Production - User Input'!A$23)),'Honey Production - User Input'!B$23,IF(ISNUMBER(SEARCH("Apilife (VAR thymol, eucalyptol, menthol, camphor)",'Honey Production - User Input'!A$24)),'Honey Production - User Input'!B$24,IF(ISNUMBER(SEARCH("Apilife (VAR thymol, eucalyptol, menthol, camphor)",'Honey Production - User Input'!A$25)),'Honey Production - User Input'!B$25,IF(ISNUMBER(SEARCH("Apilife (VAR thymol, eucalyptol, menthol, camphor)",'Honey Production - User Input'!A$26)),'Honey Production - User Input'!B$26,0))))))/2.2046</f>
        <v>0</v>
      </c>
      <c r="G20" s="16" t="s">
        <v>61</v>
      </c>
      <c r="H20" s="17">
        <f>$F20*LCI!G$16</f>
        <v>0</v>
      </c>
      <c r="I20" s="17">
        <f>$F20*LCI!H$16</f>
        <v>0</v>
      </c>
      <c r="J20" s="17">
        <f>$F20*LCI!I$16</f>
        <v>0</v>
      </c>
      <c r="K20" s="17">
        <f>$F20*LCI!J$16</f>
        <v>0</v>
      </c>
      <c r="L20" s="17">
        <f>$F20*LCI!K$16</f>
        <v>0</v>
      </c>
      <c r="M20" s="17">
        <f>$F20*LCI!L$16</f>
        <v>0</v>
      </c>
      <c r="N20" s="17">
        <f>$F20*LCI!M$16</f>
        <v>0</v>
      </c>
      <c r="O20" s="17">
        <f>$F20*LCI!N$16</f>
        <v>0</v>
      </c>
      <c r="P20" s="17">
        <f>$F20*LCI!O$16</f>
        <v>0</v>
      </c>
      <c r="Q20" s="17">
        <f>$F20*LCI!P$16</f>
        <v>0</v>
      </c>
      <c r="R20" s="17">
        <f>$F20*LCI!Q$16</f>
        <v>0</v>
      </c>
      <c r="S20" s="18"/>
    </row>
    <row r="21" spans="2:19" s="16" customFormat="1" ht="15">
      <c r="B21" s="5" t="s">
        <v>290</v>
      </c>
      <c r="C21" t="s">
        <v>80</v>
      </c>
      <c r="D21" s="10" t="s">
        <v>105</v>
      </c>
      <c r="E21" t="s">
        <v>106</v>
      </c>
      <c r="F21">
        <f>IF(ISNUMBER(SEARCH("Apilife (VAR thymol, eucalyptol, menthol, camphor)",'Honey Production - User Input'!A$27)),'Honey Production - User Input'!B$27,IF(ISNUMBER(SEARCH("Apilife (VAR thymol, eucalyptol, menthol, camphor)",'Honey Production - User Input'!A$28)),'Honey Production - User Input'!B$28,IF(ISNUMBER(SEARCH("Apilife (VAR thymol, eucalyptol, menthol, camphor)",'Honey Production - User Input'!A$29)),'Honey Production - User Input'!B$29,IF(ISNUMBER(SEARCH("Apilife (VAR thymol, eucalyptol, menthol, camphor)",'Honey Production - User Input'!A$30)),'Honey Production - User Input'!B$30,IF(ISNUMBER(SEARCH("Apilife (VAR thymol, eucalyptol, menthol, camphor)",'Honey Production - User Input'!A$31)),'Honey Production - User Input'!B$31,IF(ISNUMBER(SEARCH("Apilife (VAR thymol, eucalyptol, menthol, camphor)",'Honey Production - User Input'!A$32)),'Honey Production - User Input'!B$32,0))))))/2.2046</f>
        <v>0</v>
      </c>
      <c r="G21" s="16" t="s">
        <v>61</v>
      </c>
      <c r="H21" s="17">
        <f>$F21*LCI!G$16</f>
        <v>0</v>
      </c>
      <c r="I21" s="17">
        <f>$F21*LCI!H$16</f>
        <v>0</v>
      </c>
      <c r="J21" s="17">
        <f>$F21*LCI!I$16</f>
        <v>0</v>
      </c>
      <c r="K21" s="17">
        <f>$F21*LCI!J$16</f>
        <v>0</v>
      </c>
      <c r="L21" s="17">
        <f>$F21*LCI!K$16</f>
        <v>0</v>
      </c>
      <c r="M21" s="17">
        <f>$F21*LCI!L$16</f>
        <v>0</v>
      </c>
      <c r="N21" s="17">
        <f>$F21*LCI!M$16</f>
        <v>0</v>
      </c>
      <c r="O21" s="17">
        <f>$F21*LCI!N$16</f>
        <v>0</v>
      </c>
      <c r="P21" s="17">
        <f>$F21*LCI!O$16</f>
        <v>0</v>
      </c>
      <c r="Q21" s="17">
        <f>$F21*LCI!P$16</f>
        <v>0</v>
      </c>
      <c r="R21" s="17">
        <f>$F21*LCI!Q$16</f>
        <v>0</v>
      </c>
      <c r="S21" s="18"/>
    </row>
    <row r="22" spans="2:19" s="16" customFormat="1" ht="15">
      <c r="B22" s="16" t="s">
        <v>181</v>
      </c>
      <c r="C22" s="16" t="s">
        <v>48</v>
      </c>
      <c r="D22" s="16" t="s">
        <v>114</v>
      </c>
      <c r="E22" s="16" t="s">
        <v>398</v>
      </c>
      <c r="F22">
        <f>IF(ISNUMBER(SEARCH("Apistan strips (fluvalinate)",'Honey Production - User Input'!A$21)),'Honey Production - User Input'!B$21,IF(ISNUMBER(SEARCH("Apistan strips (fluvalinate)",'Honey Production - User Input'!A$22)),'Honey Production - User Input'!B$22,IF(ISNUMBER(SEARCH("Apistan strips (fluvalinate)",'Honey Production - User Input'!A$23)),'Honey Production - User Input'!B$23,IF(ISNUMBER(SEARCH("Apistan strips (fluvalinate)",'Honey Production - User Input'!A$24)),'Honey Production - User Input'!B$24,IF(ISNUMBER(SEARCH("Apistan strips (fluvalinate)",'Honey Production - User Input'!A$25)),'Honey Production - User Input'!B$25,IF(ISNUMBER(SEARCH("Apistan strips (fluvalinate)",'Honey Production - User Input'!A$26)),'Honey Production - User Input'!B$26,0))))))/2.2046</f>
        <v>0</v>
      </c>
      <c r="G22" s="16" t="s">
        <v>61</v>
      </c>
      <c r="H22" s="17">
        <f>$F22*LCI!G$17</f>
        <v>0</v>
      </c>
      <c r="I22" s="17">
        <f>$F22*LCI!H$17</f>
        <v>0</v>
      </c>
      <c r="J22" s="17">
        <f>$F22*LCI!I$17</f>
        <v>0</v>
      </c>
      <c r="K22" s="17">
        <f>$F22*LCI!J$17</f>
        <v>0</v>
      </c>
      <c r="L22" s="17">
        <f>$F22*LCI!K$17</f>
        <v>0</v>
      </c>
      <c r="M22" s="17">
        <f>$F22*LCI!L$17</f>
        <v>0</v>
      </c>
      <c r="N22" s="17">
        <f>$F22*LCI!M$17</f>
        <v>0</v>
      </c>
      <c r="O22" s="17">
        <f>$F22*LCI!N$17</f>
        <v>0</v>
      </c>
      <c r="P22" s="17">
        <f>$F22*LCI!O$17</f>
        <v>0</v>
      </c>
      <c r="Q22" s="17">
        <f>$F22*LCI!P$17</f>
        <v>0</v>
      </c>
      <c r="R22" s="17">
        <f>$F22*LCI!Q$17</f>
        <v>0</v>
      </c>
      <c r="S22" s="18"/>
    </row>
    <row r="23" spans="2:19" s="16" customFormat="1" ht="15">
      <c r="B23" t="s">
        <v>77</v>
      </c>
      <c r="C23" s="16" t="s">
        <v>48</v>
      </c>
      <c r="D23" s="16" t="s">
        <v>114</v>
      </c>
      <c r="E23" s="16" t="s">
        <v>398</v>
      </c>
      <c r="F23">
        <f>IF(ISNUMBER(SEARCH("Apistan strips (fluvalinate)",'Honey Production - User Input'!A$27)),'Honey Production - User Input'!B$27,IF(ISNUMBER(SEARCH("Apistan strips (fluvalinate)",'Honey Production - User Input'!A$28)),'Honey Production - User Input'!B$28,IF(ISNUMBER(SEARCH("Apistan strips (fluvalinate)",'Honey Production - User Input'!A$29)),'Honey Production - User Input'!B$29,IF(ISNUMBER(SEARCH("Apistan strips (fluvalinate)",'Honey Production - User Input'!A$30)),'Honey Production - User Input'!B$30,IF(ISNUMBER(SEARCH("Apistan strips (fluvalinate)",'Honey Production - User Input'!A$31)),'Honey Production - User Input'!B$31,IF(ISNUMBER(SEARCH("Apistan strips (fluvalinate)",'Honey Production - User Input'!A$32)),'Honey Production - User Input'!B$32,0))))))/2.2046</f>
        <v>0</v>
      </c>
      <c r="G23" s="16" t="s">
        <v>61</v>
      </c>
      <c r="H23" s="17">
        <f>$F23*LCI!G$17</f>
        <v>0</v>
      </c>
      <c r="I23" s="17">
        <f>$F23*LCI!H$17</f>
        <v>0</v>
      </c>
      <c r="J23" s="17">
        <f>$F23*LCI!I$17</f>
        <v>0</v>
      </c>
      <c r="K23" s="17">
        <f>$F23*LCI!J$17</f>
        <v>0</v>
      </c>
      <c r="L23" s="17">
        <f>$F23*LCI!K$17</f>
        <v>0</v>
      </c>
      <c r="M23" s="17">
        <f>$F23*LCI!L$17</f>
        <v>0</v>
      </c>
      <c r="N23" s="17">
        <f>$F23*LCI!M$17</f>
        <v>0</v>
      </c>
      <c r="O23" s="17">
        <f>$F23*LCI!N$17</f>
        <v>0</v>
      </c>
      <c r="P23" s="17">
        <f>$F23*LCI!O$17</f>
        <v>0</v>
      </c>
      <c r="Q23" s="17">
        <f>$F23*LCI!P$17</f>
        <v>0</v>
      </c>
      <c r="R23" s="17">
        <f>$F23*LCI!Q$17</f>
        <v>0</v>
      </c>
      <c r="S23" s="18"/>
    </row>
    <row r="24" spans="2:19" s="16" customFormat="1" ht="15">
      <c r="B24" s="5" t="s">
        <v>49</v>
      </c>
      <c r="C24" s="16" t="s">
        <v>50</v>
      </c>
      <c r="E24" t="s">
        <v>36</v>
      </c>
      <c r="F24">
        <f>IF(ISNUMBER(SEARCH("Apitol (cymiazole)",'Honey Production - User Input'!A$21)),'Honey Production - User Input'!B$21,IF(ISNUMBER(SEARCH("Apitol (cymiazole)",'Honey Production - User Input'!A$22)),'Honey Production - User Input'!B$22,IF(ISNUMBER(SEARCH("Apitol (cymiazole)",'Honey Production - User Input'!A$23)),'Honey Production - User Input'!B$23,IF(ISNUMBER(SEARCH("Apitol (cymiazole)",'Honey Production - User Input'!A$24)),'Honey Production - User Input'!B$24,IF(ISNUMBER(SEARCH("Apitol (cymiazole)",'Honey Production - User Input'!A$25)),'Honey Production - User Input'!B$25,IF(ISNUMBER(SEARCH("Apitol (cymiazole)",'Honey Production - User Input'!A$26)),'Honey Production - User Input'!B$26,0))))))/2.2046</f>
        <v>0</v>
      </c>
      <c r="G24" s="16" t="s">
        <v>61</v>
      </c>
      <c r="H24" s="17">
        <f>$F24*LCI!G$18</f>
        <v>0</v>
      </c>
      <c r="I24" s="17">
        <f>$F24*LCI!H$18</f>
        <v>0</v>
      </c>
      <c r="J24" s="17">
        <f>$F24*LCI!I$18</f>
        <v>0</v>
      </c>
      <c r="K24" s="17">
        <f>$F24*LCI!J$18</f>
        <v>0</v>
      </c>
      <c r="L24" s="17">
        <f>$F24*LCI!K$18</f>
        <v>0</v>
      </c>
      <c r="M24" s="17">
        <f>$F24*LCI!L$18</f>
        <v>0</v>
      </c>
      <c r="N24" s="17">
        <f>$F24*LCI!M$18</f>
        <v>0</v>
      </c>
      <c r="O24" s="17">
        <f>$F24*LCI!N$18</f>
        <v>0</v>
      </c>
      <c r="P24" s="17">
        <f>$F24*LCI!O$18</f>
        <v>0</v>
      </c>
      <c r="Q24" s="17">
        <f>$F24*LCI!P$18</f>
        <v>0</v>
      </c>
      <c r="R24" s="17">
        <f>$F24*LCI!Q$18</f>
        <v>0</v>
      </c>
      <c r="S24" s="18"/>
    </row>
    <row r="25" spans="2:19" s="16" customFormat="1" ht="15">
      <c r="B25" s="5" t="s">
        <v>49</v>
      </c>
      <c r="C25" s="16" t="s">
        <v>50</v>
      </c>
      <c r="E25" t="s">
        <v>36</v>
      </c>
      <c r="F25">
        <f>IF(ISNUMBER(SEARCH("Apitol (cymiazole)",'Honey Production - User Input'!A$27)),'Honey Production - User Input'!B$27,IF(ISNUMBER(SEARCH("Apitol (cymiazole)",'Honey Production - User Input'!A$28)),'Honey Production - User Input'!B$28,IF(ISNUMBER(SEARCH("Apitol (cymiazole)",'Honey Production - User Input'!A$29)),'Honey Production - User Input'!B$29,IF(ISNUMBER(SEARCH("Apitol (cymiazole)",'Honey Production - User Input'!A$30)),'Honey Production - User Input'!B$30,IF(ISNUMBER(SEARCH("Apitol (cymiazole)",'Honey Production - User Input'!A$31)),'Honey Production - User Input'!B$31,IF(ISNUMBER(SEARCH("Apitol (cymiazole)",'Honey Production - User Input'!A$32)),'Honey Production - User Input'!B$32,0))))))/2.2046</f>
        <v>0</v>
      </c>
      <c r="G25" s="16" t="s">
        <v>61</v>
      </c>
      <c r="H25" s="17">
        <f>$F25*LCI!G$18</f>
        <v>0</v>
      </c>
      <c r="I25" s="17">
        <f>$F25*LCI!H$18</f>
        <v>0</v>
      </c>
      <c r="J25" s="17">
        <f>$F25*LCI!I$18</f>
        <v>0</v>
      </c>
      <c r="K25" s="17">
        <f>$F25*LCI!J$18</f>
        <v>0</v>
      </c>
      <c r="L25" s="17">
        <f>$F25*LCI!K$18</f>
        <v>0</v>
      </c>
      <c r="M25" s="17">
        <f>$F25*LCI!L$18</f>
        <v>0</v>
      </c>
      <c r="N25" s="17">
        <f>$F25*LCI!M$18</f>
        <v>0</v>
      </c>
      <c r="O25" s="17">
        <f>$F25*LCI!N$18</f>
        <v>0</v>
      </c>
      <c r="P25" s="17">
        <f>$F25*LCI!O$18</f>
        <v>0</v>
      </c>
      <c r="Q25" s="17">
        <f>$F25*LCI!P$18</f>
        <v>0</v>
      </c>
      <c r="R25" s="17">
        <f>$F25*LCI!Q$18</f>
        <v>0</v>
      </c>
      <c r="S25" s="18"/>
    </row>
    <row r="26" spans="2:19" s="16" customFormat="1" ht="15">
      <c r="B26" s="5" t="s">
        <v>51</v>
      </c>
      <c r="C26" s="16" t="s">
        <v>48</v>
      </c>
      <c r="E26" t="s">
        <v>398</v>
      </c>
      <c r="F26">
        <f>IF(ISNUMBER(SEARCH("Bayvarol(flumethrin)",'Honey Production - User Input'!A$21)),'Honey Production - User Input'!B$21,IF(ISNUMBER(SEARCH("Bayvarol(flumethrin)",'Honey Production - User Input'!A$22)),'Honey Production - User Input'!B$22,IF(ISNUMBER(SEARCH("Bayvarol(flumethrin)",'Honey Production - User Input'!A$23)),'Honey Production - User Input'!B$23,IF(ISNUMBER(SEARCH("Bayvarol(flumethrin)",'Honey Production - User Input'!A$24)),'Honey Production - User Input'!B$24,IF(ISNUMBER(SEARCH("Bayvarol(flumethrin)",'Honey Production - User Input'!A$25)),'Honey Production - User Input'!B$25,IF(ISNUMBER(SEARCH("Bayvarol(flumethrin)",'Honey Production - User Input'!A$26)),'Honey Production - User Input'!B$26,0))))))/2.2046</f>
        <v>0</v>
      </c>
      <c r="G26" s="16" t="s">
        <v>61</v>
      </c>
      <c r="H26" s="17">
        <f>$F26*LCI!G$17</f>
        <v>0</v>
      </c>
      <c r="I26" s="17">
        <f>$F26*LCI!H$17</f>
        <v>0</v>
      </c>
      <c r="J26" s="17">
        <f>$F26*LCI!I$17</f>
        <v>0</v>
      </c>
      <c r="K26" s="17">
        <f>$F26*LCI!J$17</f>
        <v>0</v>
      </c>
      <c r="L26" s="17">
        <f>$F26*LCI!K$17</f>
        <v>0</v>
      </c>
      <c r="M26" s="17">
        <f>$F26*LCI!L$17</f>
        <v>0</v>
      </c>
      <c r="N26" s="17">
        <f>$F26*LCI!M$17</f>
        <v>0</v>
      </c>
      <c r="O26" s="17">
        <f>$F26*LCI!N$17</f>
        <v>0</v>
      </c>
      <c r="P26" s="17">
        <f>$F26*LCI!O$17</f>
        <v>0</v>
      </c>
      <c r="Q26" s="17">
        <f>$F26*LCI!P$17</f>
        <v>0</v>
      </c>
      <c r="R26" s="17">
        <f>$F26*LCI!Q$17</f>
        <v>0</v>
      </c>
      <c r="S26" s="18"/>
    </row>
    <row r="27" spans="2:19" s="16" customFormat="1" ht="15">
      <c r="B27" s="5" t="s">
        <v>51</v>
      </c>
      <c r="C27" s="16" t="s">
        <v>48</v>
      </c>
      <c r="E27" t="s">
        <v>398</v>
      </c>
      <c r="F27">
        <f>IF(ISNUMBER(SEARCH("Bayvarol(flumethrin)",'Honey Production - User Input'!A$27)),'Honey Production - User Input'!B$27,IF(ISNUMBER(SEARCH("Bayvarol(flumethrin)",'Honey Production - User Input'!A$28)),'Honey Production - User Input'!B$28,IF(ISNUMBER(SEARCH("Bayvarol(flumethrin)",'Honey Production - User Input'!A$29)),'Honey Production - User Input'!B$29,IF(ISNUMBER(SEARCH("Bayvarol(flumethrin)",'Honey Production - User Input'!A$30)),'Honey Production - User Input'!B$30,IF(ISNUMBER(SEARCH("Bayvarol(flumethrin)",'Honey Production - User Input'!A$31)),'Honey Production - User Input'!B$31,IF(ISNUMBER(SEARCH("Bayvarol(flumethrin)",'Honey Production - User Input'!A$32)),'Honey Production - User Input'!B$32,0))))))/2.2046</f>
        <v>0</v>
      </c>
      <c r="G27" s="16" t="s">
        <v>61</v>
      </c>
      <c r="H27" s="17">
        <f>$F27*LCI!G$17</f>
        <v>0</v>
      </c>
      <c r="I27" s="17">
        <f>$F27*LCI!H$17</f>
        <v>0</v>
      </c>
      <c r="J27" s="17">
        <f>$F27*LCI!I$17</f>
        <v>0</v>
      </c>
      <c r="K27" s="17">
        <f>$F27*LCI!J$17</f>
        <v>0</v>
      </c>
      <c r="L27" s="17">
        <f>$F27*LCI!K$17</f>
        <v>0</v>
      </c>
      <c r="M27" s="17">
        <f>$F27*LCI!L$17</f>
        <v>0</v>
      </c>
      <c r="N27" s="17">
        <f>$F27*LCI!M$17</f>
        <v>0</v>
      </c>
      <c r="O27" s="17">
        <f>$F27*LCI!N$17</f>
        <v>0</v>
      </c>
      <c r="P27" s="17">
        <f>$F27*LCI!O$17</f>
        <v>0</v>
      </c>
      <c r="Q27" s="17">
        <f>$F27*LCI!P$17</f>
        <v>0</v>
      </c>
      <c r="R27" s="17">
        <f>$F27*LCI!Q$17</f>
        <v>0</v>
      </c>
      <c r="S27" s="18"/>
    </row>
    <row r="28" spans="2:19" s="16" customFormat="1" ht="15">
      <c r="B28" s="16" t="s">
        <v>52</v>
      </c>
      <c r="C28" s="16" t="s">
        <v>53</v>
      </c>
      <c r="E28" t="s">
        <v>151</v>
      </c>
      <c r="F28">
        <f>IF(ISNUMBER(SEARCH("CheckMite+ (coumaphos)",'Honey Production - User Input'!A$21)),'Honey Production - User Input'!B$21,IF(ISNUMBER(SEARCH("CheckMite+ (coumaphos)",'Honey Production - User Input'!A$22)),'Honey Production - User Input'!B$22,IF(ISNUMBER(SEARCH("CheckMite+ (coumaphos)",'Honey Production - User Input'!A$23)),'Honey Production - User Input'!B$23,IF(ISNUMBER(SEARCH("CheckMite+ (coumaphos)",'Honey Production - User Input'!A$24)),'Honey Production - User Input'!B$24,IF(ISNUMBER(SEARCH("CheckMite+ (coumaphos)",'Honey Production - User Input'!A$25)),'Honey Production - User Input'!B$25,IF(ISNUMBER(SEARCH("CheckMite+ (coumaphos)",'Honey Production - User Input'!A$26)),'Honey Production - User Input'!B$26,0))))))/2.2046</f>
        <v>0</v>
      </c>
      <c r="G28" s="16" t="s">
        <v>61</v>
      </c>
      <c r="H28" s="17">
        <f>$F28*LCI!G$19</f>
        <v>0</v>
      </c>
      <c r="I28" s="17">
        <f>$F28*LCI!H$19</f>
        <v>0</v>
      </c>
      <c r="J28" s="17">
        <f>$F28*LCI!I$19</f>
        <v>0</v>
      </c>
      <c r="K28" s="17">
        <f>$F28*LCI!J$19</f>
        <v>0</v>
      </c>
      <c r="L28" s="17">
        <f>$F28*LCI!K$19</f>
        <v>0</v>
      </c>
      <c r="M28" s="17">
        <f>$F28*LCI!L$19</f>
        <v>0</v>
      </c>
      <c r="N28" s="17">
        <f>$F28*LCI!M$19</f>
        <v>0</v>
      </c>
      <c r="O28" s="17">
        <f>$F28*LCI!N$19</f>
        <v>0</v>
      </c>
      <c r="P28" s="17">
        <f>$F28*LCI!O$19</f>
        <v>0</v>
      </c>
      <c r="Q28" s="17">
        <f>$F28*LCI!P$19</f>
        <v>0</v>
      </c>
      <c r="R28" s="17">
        <f>$F28*LCI!Q$19</f>
        <v>0</v>
      </c>
      <c r="S28" s="18"/>
    </row>
    <row r="29" spans="2:19" s="16" customFormat="1" ht="15">
      <c r="B29" t="s">
        <v>380</v>
      </c>
      <c r="C29" s="16" t="s">
        <v>53</v>
      </c>
      <c r="E29" t="s">
        <v>151</v>
      </c>
      <c r="F29">
        <f>IF(ISNUMBER(SEARCH("CheckMite+ (coumaphos)",'Honey Production - User Input'!A$27)),'Honey Production - User Input'!B$27,IF(ISNUMBER(SEARCH("CheckMite+ (coumaphos)",'Honey Production - User Input'!A$28)),'Honey Production - User Input'!B$28,IF(ISNUMBER(SEARCH("CheckMite+ (coumaphos)",'Honey Production - User Input'!A$29)),'Honey Production - User Input'!B$29,IF(ISNUMBER(SEARCH("CheckMite+ (coumaphos)",'Honey Production - User Input'!A$30)),'Honey Production - User Input'!B$30,IF(ISNUMBER(SEARCH("CheckMite+ (coumaphos)",'Honey Production - User Input'!A$31)),'Honey Production - User Input'!B$31,IF(ISNUMBER(SEARCH("CheckMite+ (coumaphos)",'Honey Production - User Input'!A$32)),'Honey Production - User Input'!B$32,0))))))/2.2046</f>
        <v>0</v>
      </c>
      <c r="G29" s="16" t="s">
        <v>61</v>
      </c>
      <c r="H29" s="17">
        <f>$F29*LCI!G$19</f>
        <v>0</v>
      </c>
      <c r="I29" s="17">
        <f>$F29*LCI!H$19</f>
        <v>0</v>
      </c>
      <c r="J29" s="17">
        <f>$F29*LCI!I$19</f>
        <v>0</v>
      </c>
      <c r="K29" s="17">
        <f>$F29*LCI!J$19</f>
        <v>0</v>
      </c>
      <c r="L29" s="17">
        <f>$F29*LCI!K$19</f>
        <v>0</v>
      </c>
      <c r="M29" s="17">
        <f>$F29*LCI!L$19</f>
        <v>0</v>
      </c>
      <c r="N29" s="17">
        <f>$F29*LCI!M$19</f>
        <v>0</v>
      </c>
      <c r="O29" s="17">
        <f>$F29*LCI!N$19</f>
        <v>0</v>
      </c>
      <c r="P29" s="17">
        <f>$F29*LCI!O$19</f>
        <v>0</v>
      </c>
      <c r="Q29" s="17">
        <f>$F29*LCI!P$19</f>
        <v>0</v>
      </c>
      <c r="R29" s="17">
        <f>$F29*LCI!Q$19</f>
        <v>0</v>
      </c>
      <c r="S29" s="18"/>
    </row>
    <row r="30" spans="2:19" s="16" customFormat="1" ht="15">
      <c r="B30" s="5" t="s">
        <v>79</v>
      </c>
      <c r="C30" s="16" t="s">
        <v>245</v>
      </c>
      <c r="E30" s="16" t="s">
        <v>317</v>
      </c>
      <c r="F30">
        <f>IF(ISNUMBER(SEARCH("formic acid, oxalic acid",'Honey Production - User Input'!A$21)),'Honey Production - User Input'!B$21,IF(ISNUMBER(SEARCH("formic acid, oxalic acid",'Honey Production - User Input'!A$22)),'Honey Production - User Input'!B$22,IF(ISNUMBER(SEARCH("formic acid, oxalic acid",'Honey Production - User Input'!A$23)),'Honey Production - User Input'!B$23,IF(ISNUMBER(SEARCH("formic acid, oxalic acid",'Honey Production - User Input'!A$24)),'Honey Production - User Input'!B$24,IF(ISNUMBER(SEARCH("formic acid, oxalic acid",'Honey Production - User Input'!A$25)),'Honey Production - User Input'!B$25,IF(ISNUMBER(SEARCH("formic acid, oxalic acid",'Honey Production - User Input'!A$26)),'Honey Production - User Input'!B$26,0))))))/2.2046</f>
        <v>0</v>
      </c>
      <c r="G30" s="16" t="s">
        <v>61</v>
      </c>
      <c r="H30" s="17">
        <f>$F30*LCI!G$14</f>
        <v>0</v>
      </c>
      <c r="I30" s="17">
        <f>$F30*LCI!H$14</f>
        <v>0</v>
      </c>
      <c r="J30" s="17">
        <f>$F30*LCI!I$14</f>
        <v>0</v>
      </c>
      <c r="K30" s="17">
        <f>$F30*LCI!J$14</f>
        <v>0</v>
      </c>
      <c r="L30" s="17">
        <f>$F30*LCI!K$14</f>
        <v>0</v>
      </c>
      <c r="M30" s="17">
        <f>$F30*LCI!L$14</f>
        <v>0</v>
      </c>
      <c r="N30" s="17">
        <f>$F30*LCI!M$14</f>
        <v>0</v>
      </c>
      <c r="O30" s="17">
        <f>$F30*LCI!N$14</f>
        <v>0</v>
      </c>
      <c r="P30" s="17">
        <f>$F30*LCI!O$14</f>
        <v>0</v>
      </c>
      <c r="Q30" s="17">
        <f>$F30*LCI!P$14</f>
        <v>0</v>
      </c>
      <c r="R30" s="17">
        <f>$F30*LCI!Q$14</f>
        <v>0</v>
      </c>
      <c r="S30" s="18"/>
    </row>
    <row r="31" spans="2:19" s="16" customFormat="1" ht="15">
      <c r="B31" s="5" t="s">
        <v>79</v>
      </c>
      <c r="C31" s="16" t="s">
        <v>245</v>
      </c>
      <c r="E31" s="16" t="s">
        <v>317</v>
      </c>
      <c r="F31">
        <f>IF(ISNUMBER(SEARCH("formic acid, oxalic acid",'Honey Production - User Input'!A$27)),'Honey Production - User Input'!B$27,IF(ISNUMBER(SEARCH("formic acid, oxalic acid",'Honey Production - User Input'!A$28)),'Honey Production - User Input'!B$28,IF(ISNUMBER(SEARCH("formic acid, oxalic acid",'Honey Production - User Input'!A$29)),'Honey Production - User Input'!B$29,IF(ISNUMBER(SEARCH("formic acid, oxalic acid",'Honey Production - User Input'!A$30)),'Honey Production - User Input'!B$30,IF(ISNUMBER(SEARCH("formic acid, oxalic acid",'Honey Production - User Input'!A$31)),'Honey Production - User Input'!B$31,IF(ISNUMBER(SEARCH("formic acid, oxalic acid",'Honey Production - User Input'!A$32)),'Honey Production - User Input'!B$32,0))))))/2.2046</f>
        <v>0</v>
      </c>
      <c r="G31" s="16" t="s">
        <v>61</v>
      </c>
      <c r="H31" s="17">
        <f>$F31*LCI!G$14</f>
        <v>0</v>
      </c>
      <c r="I31" s="17">
        <f>$F31*LCI!H$14</f>
        <v>0</v>
      </c>
      <c r="J31" s="17">
        <f>$F31*LCI!I$14</f>
        <v>0</v>
      </c>
      <c r="K31" s="17">
        <f>$F31*LCI!J$14</f>
        <v>0</v>
      </c>
      <c r="L31" s="17">
        <f>$F31*LCI!K$14</f>
        <v>0</v>
      </c>
      <c r="M31" s="17">
        <f>$F31*LCI!L$14</f>
        <v>0</v>
      </c>
      <c r="N31" s="17">
        <f>$F31*LCI!M$14</f>
        <v>0</v>
      </c>
      <c r="O31" s="17">
        <f>$F31*LCI!N$14</f>
        <v>0</v>
      </c>
      <c r="P31" s="17">
        <f>$F31*LCI!O$14</f>
        <v>0</v>
      </c>
      <c r="Q31" s="17">
        <f>$F31*LCI!P$14</f>
        <v>0</v>
      </c>
      <c r="R31" s="17">
        <f>$F31*LCI!Q$14</f>
        <v>0</v>
      </c>
      <c r="S31" s="18"/>
    </row>
    <row r="32" spans="2:19" s="16" customFormat="1" ht="15">
      <c r="B32" s="5" t="s">
        <v>78</v>
      </c>
      <c r="E32" s="16" t="s">
        <v>78</v>
      </c>
      <c r="F32">
        <f>IF(ISNUMBER(SEARCH("Lactic acid",'Honey Production - User Input'!A$21)),'Honey Production - User Input'!B$21,IF(ISNUMBER(SEARCH("Lactic acid",'Honey Production - User Input'!A$22)),'Honey Production - User Input'!B$22,IF(ISNUMBER(SEARCH("Lactic acid",'Honey Production - User Input'!A$23)),'Honey Production - User Input'!B$23,IF(ISNUMBER(SEARCH("Lactic acid",'Honey Production - User Input'!A$24)),'Honey Production - User Input'!B$24,IF(ISNUMBER(SEARCH("Lactic acid",'Honey Production - User Input'!A$25)),'Honey Production - User Input'!B$25,IF(ISNUMBER(SEARCH("Lactic acid",'Honey Production - User Input'!A$26)),'Honey Production - User Input'!B$26,0))))))/2.2046</f>
        <v>0</v>
      </c>
      <c r="G32" s="16" t="s">
        <v>61</v>
      </c>
      <c r="H32" s="17">
        <f>$F32*LCI!G$13</f>
        <v>0</v>
      </c>
      <c r="I32" s="17">
        <f>$F32*LCI!H$13</f>
        <v>0</v>
      </c>
      <c r="J32" s="17">
        <f>$F32*LCI!I$13</f>
        <v>0</v>
      </c>
      <c r="K32" s="17">
        <f>$F32*LCI!J$13</f>
        <v>0</v>
      </c>
      <c r="L32" s="17">
        <f>$F32*LCI!K$13</f>
        <v>0</v>
      </c>
      <c r="M32" s="17">
        <f>$F32*LCI!L$13</f>
        <v>0</v>
      </c>
      <c r="N32" s="17">
        <f>$F32*LCI!M$13</f>
        <v>0</v>
      </c>
      <c r="O32" s="17">
        <f>$F32*LCI!N$13</f>
        <v>0</v>
      </c>
      <c r="P32" s="17">
        <f>$F32*LCI!O$13</f>
        <v>0</v>
      </c>
      <c r="Q32" s="17">
        <f>$F32*LCI!P$13</f>
        <v>0</v>
      </c>
      <c r="R32" s="17">
        <f>$F32*LCI!Q$13</f>
        <v>0</v>
      </c>
      <c r="S32" s="18"/>
    </row>
    <row r="33" spans="2:19" s="16" customFormat="1" ht="15">
      <c r="B33" s="5" t="s">
        <v>78</v>
      </c>
      <c r="E33" s="16" t="s">
        <v>78</v>
      </c>
      <c r="F33">
        <f>IF(ISNUMBER(SEARCH("Lactic acid",'Honey Production - User Input'!A$27)),'Honey Production - User Input'!B$27,IF(ISNUMBER(SEARCH("Lactic acid",'Honey Production - User Input'!A$28)),'Honey Production - User Input'!B$28,IF(ISNUMBER(SEARCH("Lactic acid",'Honey Production - User Input'!A$29)),'Honey Production - User Input'!B$29,IF(ISNUMBER(SEARCH("Lactic acid",'Honey Production - User Input'!A$30)),'Honey Production - User Input'!B$30,IF(ISNUMBER(SEARCH("Lactic acid",'Honey Production - User Input'!A$31)),'Honey Production - User Input'!B$31,IF(ISNUMBER(SEARCH("Lactic acid",'Honey Production - User Input'!A$32)),'Honey Production - User Input'!B$32,0))))))/2.2046</f>
        <v>0</v>
      </c>
      <c r="G33" s="16" t="s">
        <v>61</v>
      </c>
      <c r="H33" s="17">
        <f>$F33*LCI!G$13</f>
        <v>0</v>
      </c>
      <c r="I33" s="17">
        <f>$F33*LCI!H$13</f>
        <v>0</v>
      </c>
      <c r="J33" s="17">
        <f>$F33*LCI!I$13</f>
        <v>0</v>
      </c>
      <c r="K33" s="17">
        <f>$F33*LCI!J$13</f>
        <v>0</v>
      </c>
      <c r="L33" s="17">
        <f>$F33*LCI!K$13</f>
        <v>0</v>
      </c>
      <c r="M33" s="17">
        <f>$F33*LCI!L$13</f>
        <v>0</v>
      </c>
      <c r="N33" s="17">
        <f>$F33*LCI!M$13</f>
        <v>0</v>
      </c>
      <c r="O33" s="17">
        <f>$F33*LCI!N$13</f>
        <v>0</v>
      </c>
      <c r="P33" s="17">
        <f>$F33*LCI!O$13</f>
        <v>0</v>
      </c>
      <c r="Q33" s="17">
        <f>$F33*LCI!P$13</f>
        <v>0</v>
      </c>
      <c r="R33" s="17">
        <f>$F33*LCI!Q$13</f>
        <v>0</v>
      </c>
      <c r="S33" s="18"/>
    </row>
    <row r="34" spans="2:19" s="16" customFormat="1" ht="15">
      <c r="B34" t="s">
        <v>76</v>
      </c>
      <c r="C34" s="16" t="s">
        <v>271</v>
      </c>
      <c r="D34" s="16" t="s">
        <v>146</v>
      </c>
      <c r="E34" s="16" t="s">
        <v>399</v>
      </c>
      <c r="F34">
        <f>IF(ISNUMBER(SEARCH("Fumidil (or Fumagilin)",'Honey Production - User Input'!A$21)),'Honey Production - User Input'!B$21,IF(ISNUMBER(SEARCH("Fumidil (or Fumagilin)",'Honey Production - User Input'!A$22)),'Honey Production - User Input'!B$22,IF(ISNUMBER(SEARCH("Fumidil (or Fumagilin)",'Honey Production - User Input'!A$23)),'Honey Production - User Input'!B$23,IF(ISNUMBER(SEARCH("Fumidil (or Fumagilin)",'Honey Production - User Input'!A$24)),'Honey Production - User Input'!B$24,IF(ISNUMBER(SEARCH("Fumidil (or Fumagilin)",'Honey Production - User Input'!A$25)),'Honey Production - User Input'!B$25,IF(ISNUMBER(SEARCH("Fumidil (or Fumagilin)",'Honey Production - User Input'!A$26)),'Honey Production - User Input'!B$26,0))))))/2.2046</f>
        <v>0</v>
      </c>
      <c r="G34" s="16" t="s">
        <v>61</v>
      </c>
      <c r="H34" s="17">
        <f>$F34*LCI!G$21</f>
        <v>0</v>
      </c>
      <c r="I34" s="17">
        <f>$F34*LCI!H$21</f>
        <v>0</v>
      </c>
      <c r="J34" s="17">
        <f>$F34*LCI!I$21</f>
        <v>0</v>
      </c>
      <c r="K34" s="17">
        <f>$F34*LCI!J$21</f>
        <v>0</v>
      </c>
      <c r="L34" s="17">
        <f>$F34*LCI!K$21</f>
        <v>0</v>
      </c>
      <c r="M34" s="17">
        <f>$F34*LCI!L$21</f>
        <v>0</v>
      </c>
      <c r="N34" s="17">
        <f>$F34*LCI!M$21</f>
        <v>0</v>
      </c>
      <c r="O34" s="17">
        <f>$F34*LCI!N$21</f>
        <v>0</v>
      </c>
      <c r="P34" s="17">
        <f>$F34*LCI!O$21</f>
        <v>0</v>
      </c>
      <c r="Q34" s="17">
        <f>$F34*LCI!P$21</f>
        <v>0</v>
      </c>
      <c r="R34" s="17">
        <f>$F34*LCI!Q$21</f>
        <v>0</v>
      </c>
      <c r="S34" s="18"/>
    </row>
    <row r="35" spans="2:19" s="16" customFormat="1" ht="15">
      <c r="B35" t="s">
        <v>76</v>
      </c>
      <c r="C35" s="16" t="s">
        <v>271</v>
      </c>
      <c r="D35" s="16" t="s">
        <v>146</v>
      </c>
      <c r="E35" s="16" t="s">
        <v>399</v>
      </c>
      <c r="F35">
        <f>IF(ISNUMBER(SEARCH("Fumidil (or Fumagilin)",'Honey Production - User Input'!A$27)),'Honey Production - User Input'!B$27,IF(ISNUMBER(SEARCH("Fumidil (or Fumagilin)",'Honey Production - User Input'!A$28)),'Honey Production - User Input'!B$28,IF(ISNUMBER(SEARCH("Fumidil (or Fumagilin)",'Honey Production - User Input'!A$29)),'Honey Production - User Input'!B$29,IF(ISNUMBER(SEARCH("Fumidil (or Fumagilin)",'Honey Production - User Input'!A$30)),'Honey Production - User Input'!B$30,IF(ISNUMBER(SEARCH("Fumidil (or Fumagilin)",'Honey Production - User Input'!A$31)),'Honey Production - User Input'!B$31,IF(ISNUMBER(SEARCH("Fumidil (or Fumagilin)",'Honey Production - User Input'!A$32)),'Honey Production - User Input'!B$32,0))))))/2.2046</f>
        <v>0</v>
      </c>
      <c r="G35" s="16" t="s">
        <v>61</v>
      </c>
      <c r="H35" s="17">
        <f>$F35*LCI!G$21</f>
        <v>0</v>
      </c>
      <c r="I35" s="17">
        <f>$F35*LCI!H$21</f>
        <v>0</v>
      </c>
      <c r="J35" s="17">
        <f>$F35*LCI!I$21</f>
        <v>0</v>
      </c>
      <c r="K35" s="17">
        <f>$F35*LCI!J$21</f>
        <v>0</v>
      </c>
      <c r="L35" s="17">
        <f>$F35*LCI!K$21</f>
        <v>0</v>
      </c>
      <c r="M35" s="17">
        <f>$F35*LCI!L$21</f>
        <v>0</v>
      </c>
      <c r="N35" s="17">
        <f>$F35*LCI!M$21</f>
        <v>0</v>
      </c>
      <c r="O35" s="17">
        <f>$F35*LCI!N$21</f>
        <v>0</v>
      </c>
      <c r="P35" s="17">
        <f>$F35*LCI!O$21</f>
        <v>0</v>
      </c>
      <c r="Q35" s="17">
        <f>$F35*LCI!P$21</f>
        <v>0</v>
      </c>
      <c r="R35" s="17">
        <f>$F35*LCI!Q$21</f>
        <v>0</v>
      </c>
      <c r="S35" s="18"/>
    </row>
    <row r="36" spans="2:19" s="16" customFormat="1" ht="15">
      <c r="B36" s="2" t="s">
        <v>246</v>
      </c>
      <c r="C36" s="16" t="s">
        <v>324</v>
      </c>
      <c r="E36" t="s">
        <v>317</v>
      </c>
      <c r="F36">
        <f>IF(ISNUMBER(SEARCH("Mite-Away II (formic acid)",'Honey Production - User Input'!A$21)),'Honey Production - User Input'!B$21,IF(ISNUMBER(SEARCH("Mite-Away II (formic acid)",'Honey Production - User Input'!A$22)),'Honey Production - User Input'!B$22,IF(ISNUMBER(SEARCH("Mite-Away II (formic acid)",'Honey Production - User Input'!A$23)),'Honey Production - User Input'!B$23,IF(ISNUMBER(SEARCH("Mite-Away II (formic acid)",'Honey Production - User Input'!A$24)),'Honey Production - User Input'!B$24,IF(ISNUMBER(SEARCH("Mite-Away II (formic acid)",'Honey Production - User Input'!A$25)),'Honey Production - User Input'!B$25,IF(ISNUMBER(SEARCH("Mite-Away II (formic acid)",'Honey Production - User Input'!A$26)),'Honey Production - User Input'!B$26,0))))))/2.2046</f>
        <v>0</v>
      </c>
      <c r="G36" s="16" t="s">
        <v>61</v>
      </c>
      <c r="H36" s="17">
        <f>$F36*LCI!G$14</f>
        <v>0</v>
      </c>
      <c r="I36" s="17">
        <f>$F36*LCI!H$14</f>
        <v>0</v>
      </c>
      <c r="J36" s="17">
        <f>$F36*LCI!I$14</f>
        <v>0</v>
      </c>
      <c r="K36" s="17">
        <f>$F36*LCI!J$14</f>
        <v>0</v>
      </c>
      <c r="L36" s="17">
        <f>$F36*LCI!K$14</f>
        <v>0</v>
      </c>
      <c r="M36" s="17">
        <f>$F36*LCI!L$14</f>
        <v>0</v>
      </c>
      <c r="N36" s="17">
        <f>$F36*LCI!M$14</f>
        <v>0</v>
      </c>
      <c r="O36" s="17">
        <f>$F36*LCI!N$14</f>
        <v>0</v>
      </c>
      <c r="P36" s="17">
        <f>$F36*LCI!O$14</f>
        <v>0</v>
      </c>
      <c r="Q36" s="17">
        <f>$F36*LCI!P$14</f>
        <v>0</v>
      </c>
      <c r="R36" s="17">
        <f>$F36*LCI!Q$14</f>
        <v>0</v>
      </c>
      <c r="S36" s="18"/>
    </row>
    <row r="37" spans="2:19" s="16" customFormat="1" ht="15">
      <c r="B37" s="2" t="s">
        <v>246</v>
      </c>
      <c r="C37" s="16" t="s">
        <v>324</v>
      </c>
      <c r="E37" t="s">
        <v>317</v>
      </c>
      <c r="F37">
        <f>IF(ISNUMBER(SEARCH("Mite-Away II (formic acid)",'Honey Production - User Input'!A$27)),'Honey Production - User Input'!B$27,IF(ISNUMBER(SEARCH("Mite-Away II (formic acid)",'Honey Production - User Input'!A$28)),'Honey Production - User Input'!B$28,IF(ISNUMBER(SEARCH("Mite-Away II (formic acid)",'Honey Production - User Input'!A$29)),'Honey Production - User Input'!B$29,IF(ISNUMBER(SEARCH("Mite-Away II (formic acid)",'Honey Production - User Input'!A$30)),'Honey Production - User Input'!B$30,IF(ISNUMBER(SEARCH("Mite-Away II (formic acid)",'Honey Production - User Input'!A$31)),'Honey Production - User Input'!B$31,IF(ISNUMBER(SEARCH("Mite-Away II (formic acid)",'Honey Production - User Input'!A$32)),'Honey Production - User Input'!B$32,0))))))/2.2046</f>
        <v>0</v>
      </c>
      <c r="G37" s="16" t="s">
        <v>61</v>
      </c>
      <c r="H37" s="17">
        <f>$F37*LCI!G$14</f>
        <v>0</v>
      </c>
      <c r="I37" s="17">
        <f>$F37*LCI!H$14</f>
        <v>0</v>
      </c>
      <c r="J37" s="17">
        <f>$F37*LCI!I$14</f>
        <v>0</v>
      </c>
      <c r="K37" s="17">
        <f>$F37*LCI!J$14</f>
        <v>0</v>
      </c>
      <c r="L37" s="17">
        <f>$F37*LCI!K$14</f>
        <v>0</v>
      </c>
      <c r="M37" s="17">
        <f>$F37*LCI!L$14</f>
        <v>0</v>
      </c>
      <c r="N37" s="17">
        <f>$F37*LCI!M$14</f>
        <v>0</v>
      </c>
      <c r="O37" s="17">
        <f>$F37*LCI!N$14</f>
        <v>0</v>
      </c>
      <c r="P37" s="17">
        <f>$F37*LCI!O$14</f>
        <v>0</v>
      </c>
      <c r="Q37" s="17">
        <f>$F37*LCI!P$14</f>
        <v>0</v>
      </c>
      <c r="R37" s="17">
        <f>$F37*LCI!Q$14</f>
        <v>0</v>
      </c>
      <c r="S37" s="18"/>
    </row>
    <row r="38" spans="2:18" ht="15">
      <c r="B38" t="s">
        <v>39</v>
      </c>
      <c r="E38" t="s">
        <v>40</v>
      </c>
      <c r="F38">
        <f>IF(ISNUMBER(SEARCH("Others",'Honey Production - User Input'!A$21)),'Honey Production - User Input'!B$21,IF(ISNUMBER(SEARCH("Others",'Honey Production - User Input'!A$22)),'Honey Production - User Input'!B$22,IF(ISNUMBER(SEARCH("Others",'Honey Production - User Input'!A$23)),'Honey Production - User Input'!B$23,IF(ISNUMBER(SEARCH("Others",'Honey Production - User Input'!A$24)),'Honey Production - User Input'!B$24,IF(ISNUMBER(SEARCH("Others",'Honey Production - User Input'!A$25)),'Honey Production - User Input'!B$25,IF(ISNUMBER(SEARCH("Others",'Honey Production - User Input'!A$26)),'Honey Production - User Input'!B$26,0))))))/2.2046</f>
        <v>0</v>
      </c>
      <c r="G38" s="16" t="s">
        <v>61</v>
      </c>
      <c r="H38" s="8">
        <f>$F38*LCI!G$20</f>
        <v>0</v>
      </c>
      <c r="I38" s="8">
        <f>$F38*LCI!H$20</f>
        <v>0</v>
      </c>
      <c r="J38" s="8">
        <f>$F38*LCI!I$20</f>
        <v>0</v>
      </c>
      <c r="K38" s="8">
        <f>$F38*LCI!J$20</f>
        <v>0</v>
      </c>
      <c r="L38" s="8">
        <f>$F38*LCI!K$20</f>
        <v>0</v>
      </c>
      <c r="M38" s="8">
        <f>$F38*LCI!L$20</f>
        <v>0</v>
      </c>
      <c r="N38" s="8">
        <f>$F38*LCI!M$20</f>
        <v>0</v>
      </c>
      <c r="O38" s="8">
        <f>$F38*LCI!N$20</f>
        <v>0</v>
      </c>
      <c r="P38" s="8">
        <f>$F38*LCI!O$20</f>
        <v>0</v>
      </c>
      <c r="Q38" s="8">
        <f>$F38*LCI!P$20</f>
        <v>0</v>
      </c>
      <c r="R38" s="8">
        <f>$F38*LCI!Q$20</f>
        <v>0</v>
      </c>
    </row>
    <row r="39" spans="2:18" ht="15">
      <c r="B39" t="s">
        <v>39</v>
      </c>
      <c r="E39" t="s">
        <v>40</v>
      </c>
      <c r="F39">
        <f>IF(ISNUMBER(SEARCH("Others",'Honey Production - User Input'!A$27)),'Honey Production - User Input'!B$27,IF(ISNUMBER(SEARCH("Others",'Honey Production - User Input'!A$28)),'Honey Production - User Input'!B$28,IF(ISNUMBER(SEARCH("Others",'Honey Production - User Input'!A$29)),'Honey Production - User Input'!B$29,IF(ISNUMBER(SEARCH("Others",'Honey Production - User Input'!A$30)),'Honey Production - User Input'!B$30,IF(ISNUMBER(SEARCH("Others",'Honey Production - User Input'!A$31)),'Honey Production - User Input'!B$31,IF(ISNUMBER(SEARCH("Others",'Honey Production - User Input'!A$32)),'Honey Production - User Input'!B$32,0))))))/2.2046</f>
        <v>0</v>
      </c>
      <c r="G39" s="16" t="s">
        <v>61</v>
      </c>
      <c r="H39" s="8">
        <f>$F39*LCI!G$20</f>
        <v>0</v>
      </c>
      <c r="I39" s="8">
        <f>$F39*LCI!H$20</f>
        <v>0</v>
      </c>
      <c r="J39" s="8">
        <f>$F39*LCI!I$20</f>
        <v>0</v>
      </c>
      <c r="K39" s="8">
        <f>$F39*LCI!J$20</f>
        <v>0</v>
      </c>
      <c r="L39" s="8">
        <f>$F39*LCI!K$20</f>
        <v>0</v>
      </c>
      <c r="M39" s="8">
        <f>$F39*LCI!L$20</f>
        <v>0</v>
      </c>
      <c r="N39" s="8">
        <f>$F39*LCI!M$20</f>
        <v>0</v>
      </c>
      <c r="O39" s="8">
        <f>$F39*LCI!N$20</f>
        <v>0</v>
      </c>
      <c r="P39" s="8">
        <f>$F39*LCI!O$20</f>
        <v>0</v>
      </c>
      <c r="Q39" s="8">
        <f>$F39*LCI!P$20</f>
        <v>0</v>
      </c>
      <c r="R39" s="8">
        <f>$F39*LCI!Q$20</f>
        <v>0</v>
      </c>
    </row>
    <row r="40" spans="2:18" ht="15">
      <c r="B40" t="s">
        <v>96</v>
      </c>
      <c r="F40">
        <f>IF(ISNUMBER(SEARCH("Average treatment",'Honey Production - User Input'!A$21)),'Honey Production - User Input'!B$21,0)/2.2046</f>
        <v>0</v>
      </c>
      <c r="G40" s="16" t="s">
        <v>61</v>
      </c>
      <c r="H40" s="8">
        <f>$F$40*AVERAGE(LCI!G13:G22)</f>
        <v>0</v>
      </c>
      <c r="I40" s="8">
        <f>$F$40*AVERAGE(LCI!H13:H22)</f>
        <v>0</v>
      </c>
      <c r="J40" s="8">
        <f>$F$40*AVERAGE(LCI!I13:I22)</f>
        <v>0</v>
      </c>
      <c r="K40" s="8">
        <f>$F$40*AVERAGE(LCI!J13:J22)</f>
        <v>0</v>
      </c>
      <c r="L40" s="8">
        <f>$F$40*AVERAGE(LCI!K13:K22)</f>
        <v>0</v>
      </c>
      <c r="M40" s="8">
        <f>$F$40*AVERAGE(LCI!L13:L22)</f>
        <v>0</v>
      </c>
      <c r="N40" s="8">
        <f>$F$40*AVERAGE(LCI!M13:M22)</f>
        <v>0</v>
      </c>
      <c r="O40" s="8">
        <f>$F$40*AVERAGE(LCI!N13:N22)</f>
        <v>0</v>
      </c>
      <c r="P40" s="8">
        <f>$F$40*AVERAGE(LCI!O13:O22)</f>
        <v>0</v>
      </c>
      <c r="Q40" s="8">
        <f>$F$40*AVERAGE(LCI!P13:P22)</f>
        <v>0</v>
      </c>
      <c r="R40" s="8">
        <f>$F$40*AVERAGE(LCI!Q13:Q22)</f>
        <v>0</v>
      </c>
    </row>
    <row r="41" spans="2:18" s="13" customFormat="1" ht="15">
      <c r="B41" s="12" t="s">
        <v>22</v>
      </c>
      <c r="H41" s="13">
        <f aca="true" t="shared" si="0" ref="H41:R41">SUM(H4:H38)</f>
        <v>0</v>
      </c>
      <c r="I41" s="13">
        <f t="shared" si="0"/>
        <v>0</v>
      </c>
      <c r="J41" s="13">
        <f t="shared" si="0"/>
        <v>0</v>
      </c>
      <c r="K41" s="13">
        <f t="shared" si="0"/>
        <v>0</v>
      </c>
      <c r="L41" s="13">
        <f t="shared" si="0"/>
        <v>0</v>
      </c>
      <c r="M41" s="13">
        <f t="shared" si="0"/>
        <v>0</v>
      </c>
      <c r="N41" s="13">
        <f t="shared" si="0"/>
        <v>0</v>
      </c>
      <c r="O41" s="13">
        <f t="shared" si="0"/>
        <v>0</v>
      </c>
      <c r="P41" s="13">
        <f t="shared" si="0"/>
        <v>0</v>
      </c>
      <c r="Q41" s="13">
        <f t="shared" si="0"/>
        <v>0</v>
      </c>
      <c r="R41" s="13">
        <f t="shared" si="0"/>
        <v>0</v>
      </c>
    </row>
    <row r="45" ht="19.5">
      <c r="B45" s="20"/>
    </row>
  </sheetData>
  <sheetProtection/>
  <hyperlinks>
    <hyperlink ref="D5" r:id="rId1" display="http://www.sembabees.org/nonnavpages/recipes.html"/>
    <hyperlink ref="D20" r:id="rId2" display="http://pubchem.ncbi.nlm.nih.gov/summary/summary.cgi?cid=1254&amp;loc=ec_rcs"/>
    <hyperlink ref="D21" r:id="rId3" display="http://pubchem.ncbi.nlm.nih.gov/summary/summary.cgi?cid=1254&amp;loc=ec_rcs"/>
  </hyperlink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O17"/>
  <sheetViews>
    <sheetView zoomScalePageLayoutView="0" workbookViewId="0" topLeftCell="A1">
      <selection activeCell="G23" sqref="G23"/>
    </sheetView>
  </sheetViews>
  <sheetFormatPr defaultColWidth="8.7109375" defaultRowHeight="15"/>
  <cols>
    <col min="1" max="1" width="29.7109375" style="0" bestFit="1" customWidth="1"/>
  </cols>
  <sheetData>
    <row r="1" ht="15">
      <c r="A1" s="1" t="s">
        <v>199</v>
      </c>
    </row>
    <row r="2" spans="1:15" ht="15">
      <c r="A2" t="s">
        <v>55</v>
      </c>
      <c r="B2" t="s">
        <v>325</v>
      </c>
      <c r="C2" t="s">
        <v>56</v>
      </c>
      <c r="E2" s="6" t="s">
        <v>283</v>
      </c>
      <c r="F2" s="6" t="s">
        <v>161</v>
      </c>
      <c r="G2" s="6" t="s">
        <v>162</v>
      </c>
      <c r="H2" s="6" t="s">
        <v>321</v>
      </c>
      <c r="I2" s="6" t="s">
        <v>16</v>
      </c>
      <c r="J2" s="6" t="s">
        <v>163</v>
      </c>
      <c r="K2" s="6" t="s">
        <v>164</v>
      </c>
      <c r="L2" s="6" t="s">
        <v>165</v>
      </c>
      <c r="M2" s="6" t="s">
        <v>101</v>
      </c>
      <c r="N2" s="6" t="s">
        <v>102</v>
      </c>
      <c r="O2" s="6" t="s">
        <v>103</v>
      </c>
    </row>
    <row r="3" spans="1:15" ht="15">
      <c r="A3" t="s">
        <v>200</v>
      </c>
      <c r="B3">
        <f>IF(ISNUMBER(SEARCH("Gasoline",'[2]Honey Production - User Input'!A$63)),'[2]Honey Production - User Input'!B$63,IF(ISNUMBER(SEARCH("Gasoline",'[2]Honey Production - User Input'!A$64)),'[2]Honey Production - User Input'!B$64,IF(ISNUMBER(SEARCH("Gasoline",'[2]Honey Production - User Input'!A$65)),'[2]Honey Production - User Input'!B$65,IF(ISNUMBER(SEARCH("Gasoline",'[2]Honey Production - User Input'!A$66)),'[2]Honey Production - User Input'!B$66,0))))</f>
        <v>0</v>
      </c>
      <c r="C3" t="s">
        <v>241</v>
      </c>
      <c r="E3">
        <f>$B3*(LCI!G57)</f>
        <v>0</v>
      </c>
      <c r="F3">
        <f>$B3*(LCI!H57)</f>
        <v>0</v>
      </c>
      <c r="G3">
        <f>$B3*(LCI!I57)</f>
        <v>0</v>
      </c>
      <c r="H3">
        <f>$B3*(LCI!J57)</f>
        <v>0</v>
      </c>
      <c r="I3">
        <f>$B3*(LCI!K57)</f>
        <v>0</v>
      </c>
      <c r="J3">
        <f>$B3*(LCI!L57)</f>
        <v>0</v>
      </c>
      <c r="K3">
        <f>$B3*(LCI!M57)</f>
        <v>0</v>
      </c>
      <c r="L3">
        <f>$B3*(LCI!N57)</f>
        <v>0</v>
      </c>
      <c r="M3">
        <f>$B3*(LCI!O57)</f>
        <v>0</v>
      </c>
      <c r="N3">
        <f>$B3*(LCI!P57)</f>
        <v>0</v>
      </c>
      <c r="O3">
        <f>$B3*(LCI!Q57)</f>
        <v>0</v>
      </c>
    </row>
    <row r="4" spans="1:15" ht="15">
      <c r="A4" t="s">
        <v>201</v>
      </c>
      <c r="B4">
        <f>IF(ISNUMBER(SEARCH("Electricity",'[2]Honey Production - User Input'!A$63)),'[2]Honey Production - User Input'!B$63,IF(ISNUMBER(SEARCH("Electricity",'[2]Honey Production - User Input'!A$64)),'[2]Honey Production - User Input'!B$64,IF(ISNUMBER(SEARCH("Electricity",'[2]Honey Production - User Input'!A$65)),'[2]Honey Production - User Input'!B$65,IF(ISNUMBER(SEARCH("Electricity",'[2]Honey Production - User Input'!A$66)),'[2]Honey Production - User Input'!B$66,0))))</f>
        <v>0</v>
      </c>
      <c r="C4" t="s">
        <v>122</v>
      </c>
      <c r="E4">
        <f>$B4*LCI!G59</f>
        <v>0</v>
      </c>
      <c r="F4">
        <f>$B4*LCI!H59</f>
        <v>0</v>
      </c>
      <c r="G4">
        <f>$B4*LCI!I59</f>
        <v>0</v>
      </c>
      <c r="H4">
        <f>$B4*LCI!J59</f>
        <v>0</v>
      </c>
      <c r="I4">
        <f>$B4*LCI!K59</f>
        <v>0</v>
      </c>
      <c r="J4">
        <f>$B4*LCI!L59</f>
        <v>0</v>
      </c>
      <c r="K4">
        <f>$B4*LCI!M59</f>
        <v>0</v>
      </c>
      <c r="L4">
        <f>$B4*LCI!N59</f>
        <v>0</v>
      </c>
      <c r="M4">
        <f>$B4*LCI!O59</f>
        <v>0</v>
      </c>
      <c r="N4">
        <f>$B4*LCI!P59</f>
        <v>0</v>
      </c>
      <c r="O4">
        <f>$B4*LCI!Q59</f>
        <v>0</v>
      </c>
    </row>
    <row r="5" spans="1:15" ht="15">
      <c r="A5" t="s">
        <v>424</v>
      </c>
      <c r="B5">
        <f>IF(ISNUMBER(SEARCH("Natural Gas in Therms",'[2]Honey Production - User Input'!A$63)),'[2]Honey Production - User Input'!B$63,IF(ISNUMBER(SEARCH("Natural Gas in Therms",'[2]Honey Production - User Input'!A$64)),'[2]Honey Production - User Input'!B$64,IF(ISNUMBER(SEARCH("Natural Gas in Therms",'[2]Honey Production - User Input'!A$65)),'[2]Honey Production - User Input'!B$65,IF(ISNUMBER(SEARCH("Natural Gas in Therms",'[2]Honey Production - User Input'!A$66)),'[2]Honey Production - User Input'!B$66,0))))*2.75</f>
        <v>0</v>
      </c>
      <c r="C5" t="s">
        <v>265</v>
      </c>
      <c r="E5">
        <f>$B5*LCI!G61</f>
        <v>0</v>
      </c>
      <c r="F5">
        <f>$B5*LCI!H61</f>
        <v>0</v>
      </c>
      <c r="G5">
        <f>$B5*LCI!I61</f>
        <v>0</v>
      </c>
      <c r="H5">
        <f>$B5*LCI!J61</f>
        <v>0</v>
      </c>
      <c r="I5">
        <f>$B5*LCI!K61</f>
        <v>0</v>
      </c>
      <c r="J5">
        <f>$B5*LCI!L61</f>
        <v>0</v>
      </c>
      <c r="K5">
        <f>$B5*LCI!M61</f>
        <v>0</v>
      </c>
      <c r="L5">
        <f>$B5*LCI!N61</f>
        <v>0</v>
      </c>
      <c r="M5">
        <f>$B5*LCI!O61</f>
        <v>0</v>
      </c>
      <c r="N5">
        <f>$B5*LCI!P61</f>
        <v>0</v>
      </c>
      <c r="O5">
        <f>$B5*LCI!Q61</f>
        <v>0</v>
      </c>
    </row>
    <row r="6" spans="1:15" ht="15">
      <c r="A6" t="s">
        <v>425</v>
      </c>
      <c r="B6">
        <f>IF(ISNUMBER(SEARCH("Natural Gas in 1,000 cubic feet (MCF)",'[2]Honey Production - User Input'!A$63)),'[2]Honey Production - User Input'!B$63,IF(ISNUMBER(SEARCH("Natural Gas in 1,000 cubic feet (MCF)",'[2]Honey Production - User Input'!A$64)),'[2]Honey Production - User Input'!B$64,IF(ISNUMBER(SEARCH("Natural Gas in 1,000 cubic feet (MCF)",'[2]Honey Production - User Input'!A$65)),'[2]Honey Production - User Input'!B$65,IF(ISNUMBER(SEARCH("Natural Gas in 1,000 cubic feet (MCF)",'[2]Honey Production - User Input'!A$66)),'[2]Honey Production - User Input'!B$66,0))))*28.3168</f>
        <v>0</v>
      </c>
      <c r="C6" t="s">
        <v>265</v>
      </c>
      <c r="E6">
        <f>$B6*(LCI!G61)</f>
        <v>0</v>
      </c>
      <c r="F6">
        <f>$B6*(LCI!H61)</f>
        <v>0</v>
      </c>
      <c r="G6">
        <f>$B6*(LCI!I61)</f>
        <v>0</v>
      </c>
      <c r="H6">
        <f>$B6*(LCI!J61)</f>
        <v>0</v>
      </c>
      <c r="I6">
        <f>$B6*(LCI!K61)</f>
        <v>0</v>
      </c>
      <c r="J6">
        <f>$B6*(LCI!L61)</f>
        <v>0</v>
      </c>
      <c r="K6">
        <f>$B6*(LCI!M61)</f>
        <v>0</v>
      </c>
      <c r="L6">
        <f>$B6*(LCI!N61)</f>
        <v>0</v>
      </c>
      <c r="M6">
        <f>$B6*(LCI!O61)</f>
        <v>0</v>
      </c>
      <c r="N6">
        <f>$B6*(LCI!P61)</f>
        <v>0</v>
      </c>
      <c r="O6">
        <f>$B6*(LCI!Q61)</f>
        <v>0</v>
      </c>
    </row>
    <row r="7" spans="1:15" ht="15">
      <c r="A7" t="s">
        <v>185</v>
      </c>
      <c r="B7">
        <f>IF(ISNUMBER(SEARCH("Propane",'[2]Honey Production - User Input'!A$63)),'[2]Honey Production - User Input'!B$63,IF(ISNUMBER(SEARCH("Propane",'[2]Honey Production - User Input'!A$64)),'[2]Honey Production - User Input'!B$64,IF(ISNUMBER(SEARCH("Propane",'[2]Honey Production - User Input'!A$65)),'[2]Honey Production - User Input'!B$65,IF(ISNUMBER(SEARCH("Propane",'[2]Honey Production - User Input'!A$66)),'[2]Honey Production - User Input'!B$66,0))))</f>
        <v>0</v>
      </c>
      <c r="C7" t="s">
        <v>241</v>
      </c>
      <c r="E7">
        <f>$B$7*LCI!G63</f>
        <v>0</v>
      </c>
      <c r="F7">
        <f>$B$7*LCI!H63</f>
        <v>0</v>
      </c>
      <c r="G7">
        <f>$B$7*LCI!I63</f>
        <v>0</v>
      </c>
      <c r="H7">
        <f>$B$7*LCI!J63</f>
        <v>0</v>
      </c>
      <c r="I7">
        <f>$B$7*LCI!K63</f>
        <v>0</v>
      </c>
      <c r="J7">
        <f>$B$7*LCI!L63</f>
        <v>0</v>
      </c>
      <c r="K7">
        <f>$B$7*LCI!M63</f>
        <v>0</v>
      </c>
      <c r="L7">
        <f>$B$7*LCI!N63</f>
        <v>0</v>
      </c>
      <c r="M7">
        <f>$B$7*LCI!O63</f>
        <v>0</v>
      </c>
      <c r="N7">
        <f>$B$7*LCI!P63</f>
        <v>0</v>
      </c>
      <c r="O7">
        <f>$B$7*LCI!Q63</f>
        <v>0</v>
      </c>
    </row>
    <row r="9" ht="15">
      <c r="A9" s="1" t="s">
        <v>316</v>
      </c>
    </row>
    <row r="10" spans="1:15" ht="15">
      <c r="A10" s="1" t="s">
        <v>55</v>
      </c>
      <c r="B10" t="s">
        <v>325</v>
      </c>
      <c r="C10" t="s">
        <v>326</v>
      </c>
      <c r="E10" s="6" t="s">
        <v>283</v>
      </c>
      <c r="F10" s="6" t="s">
        <v>161</v>
      </c>
      <c r="G10" s="6" t="s">
        <v>162</v>
      </c>
      <c r="H10" s="6" t="s">
        <v>321</v>
      </c>
      <c r="I10" s="6" t="s">
        <v>16</v>
      </c>
      <c r="J10" s="6" t="s">
        <v>163</v>
      </c>
      <c r="K10" s="6" t="s">
        <v>164</v>
      </c>
      <c r="L10" s="6" t="s">
        <v>165</v>
      </c>
      <c r="M10" s="6" t="s">
        <v>101</v>
      </c>
      <c r="N10" s="6" t="s">
        <v>102</v>
      </c>
      <c r="O10" s="6" t="s">
        <v>103</v>
      </c>
    </row>
    <row r="11" spans="1:15" ht="15">
      <c r="A11" t="s">
        <v>201</v>
      </c>
      <c r="B11">
        <f>'Honey Production - User Input'!E73</f>
        <v>0</v>
      </c>
      <c r="C11" t="s">
        <v>122</v>
      </c>
      <c r="E11">
        <f>$B11*LCI!G59</f>
        <v>0</v>
      </c>
      <c r="F11">
        <f>$B11*LCI!H59</f>
        <v>0</v>
      </c>
      <c r="G11">
        <f>$B11*LCI!I59</f>
        <v>0</v>
      </c>
      <c r="H11">
        <f>$B11*LCI!J59</f>
        <v>0</v>
      </c>
      <c r="I11">
        <f>$B11*LCI!K59</f>
        <v>0</v>
      </c>
      <c r="J11">
        <f>$B11*LCI!L59</f>
        <v>0</v>
      </c>
      <c r="K11">
        <f>$B11*LCI!M59</f>
        <v>0</v>
      </c>
      <c r="L11">
        <f>$B11*LCI!N59</f>
        <v>0</v>
      </c>
      <c r="M11">
        <f>$B11*LCI!O59</f>
        <v>0</v>
      </c>
      <c r="N11">
        <f>$B11*LCI!P59</f>
        <v>0</v>
      </c>
      <c r="O11">
        <f>$B11*LCI!Q59</f>
        <v>0</v>
      </c>
    </row>
    <row r="12" spans="1:15" ht="15">
      <c r="A12" t="s">
        <v>185</v>
      </c>
      <c r="B12">
        <f>'Honey Production - User Input'!M73</f>
        <v>0</v>
      </c>
      <c r="C12" t="s">
        <v>241</v>
      </c>
      <c r="E12">
        <f>$B12*(LCI!G63+LCI!G64)</f>
        <v>0</v>
      </c>
      <c r="F12">
        <f>$B12*(LCI!H63+LCI!H64)</f>
        <v>0</v>
      </c>
      <c r="G12">
        <f>$B12*(LCI!I63+LCI!I64)</f>
        <v>0</v>
      </c>
      <c r="H12">
        <f>$B12*(LCI!J63+LCI!J64)</f>
        <v>0</v>
      </c>
      <c r="I12">
        <f>$B12*(LCI!K63+LCI!K64)</f>
        <v>0</v>
      </c>
      <c r="J12">
        <f>$B12*(LCI!L63+LCI!L64)</f>
        <v>0</v>
      </c>
      <c r="K12">
        <f>$B12*(LCI!M63+LCI!M64)</f>
        <v>0</v>
      </c>
      <c r="L12">
        <f>$B12*(LCI!N63+LCI!N64)</f>
        <v>0</v>
      </c>
      <c r="M12">
        <f>$B12*(LCI!O63+LCI!O64)</f>
        <v>0</v>
      </c>
      <c r="N12">
        <f>$B12*(LCI!P63+LCI!P64)</f>
        <v>0</v>
      </c>
      <c r="O12">
        <f>$B12*(LCI!Q63+LCI!Q64)</f>
        <v>0</v>
      </c>
    </row>
    <row r="13" spans="1:15" ht="15">
      <c r="A13" t="s">
        <v>424</v>
      </c>
      <c r="B13">
        <f>'Honey Production - User Input'!N73*2.7545</f>
        <v>0</v>
      </c>
      <c r="C13" t="s">
        <v>265</v>
      </c>
      <c r="E13">
        <f>$B$13*(LCI!G61+LCI!G60)</f>
        <v>0</v>
      </c>
      <c r="F13">
        <f>$B$13*(LCI!H61+LCI!H60)</f>
        <v>0</v>
      </c>
      <c r="G13">
        <f>$B$13*(LCI!I61+LCI!I60)</f>
        <v>0</v>
      </c>
      <c r="H13">
        <f>$B$13*(LCI!J61+LCI!J60)</f>
        <v>0</v>
      </c>
      <c r="I13">
        <f>$B$13*(LCI!K61+LCI!K60)</f>
        <v>0</v>
      </c>
      <c r="J13">
        <f>$B$13*(LCI!L61+LCI!L60)</f>
        <v>0</v>
      </c>
      <c r="K13">
        <f>$B$13*(LCI!M61+LCI!M60)</f>
        <v>0</v>
      </c>
      <c r="L13">
        <f>$B$13*(LCI!N61+LCI!N60)</f>
        <v>0</v>
      </c>
      <c r="M13">
        <f>$B$13*(LCI!O61+LCI!O60)</f>
        <v>0</v>
      </c>
      <c r="N13">
        <f>$B$13*(LCI!P61+LCI!P60)</f>
        <v>0</v>
      </c>
      <c r="O13">
        <f>$B$13*(LCI!Q61+LCI!Q60)</f>
        <v>0</v>
      </c>
    </row>
    <row r="14" spans="1:15" ht="15">
      <c r="A14" t="s">
        <v>425</v>
      </c>
      <c r="B14">
        <f>'Honey Production - User Input'!O73*28.316847</f>
        <v>0</v>
      </c>
      <c r="C14" t="s">
        <v>265</v>
      </c>
      <c r="E14">
        <f>$B$14*(LCI!G61+LCI!G60)</f>
        <v>0</v>
      </c>
      <c r="F14">
        <f>$B$14*(LCI!H61+LCI!H60)</f>
        <v>0</v>
      </c>
      <c r="G14">
        <f>$B$14*(LCI!I61+LCI!I60)</f>
        <v>0</v>
      </c>
      <c r="H14">
        <f>$B$14*(LCI!J61+LCI!J60)</f>
        <v>0</v>
      </c>
      <c r="I14">
        <f>$B$14*(LCI!K61+LCI!K60)</f>
        <v>0</v>
      </c>
      <c r="J14">
        <f>$B$14*(LCI!L61+LCI!L60)</f>
        <v>0</v>
      </c>
      <c r="K14">
        <f>$B$14*(LCI!M61+LCI!M60)</f>
        <v>0</v>
      </c>
      <c r="L14">
        <f>$B$14*(LCI!N61+LCI!N60)</f>
        <v>0</v>
      </c>
      <c r="M14">
        <f>$B$14*(LCI!O61+LCI!O60)</f>
        <v>0</v>
      </c>
      <c r="N14">
        <f>$B$14*(LCI!P61+LCI!P60)</f>
        <v>0</v>
      </c>
      <c r="O14">
        <f>$B$14*(LCI!Q61+LCI!Q60)</f>
        <v>0</v>
      </c>
    </row>
    <row r="17" spans="3:15" s="7" customFormat="1" ht="15">
      <c r="C17" s="141" t="s">
        <v>153</v>
      </c>
      <c r="E17" s="7">
        <f>SUM(E3:E4,E11:E12)</f>
        <v>0</v>
      </c>
      <c r="F17" s="7">
        <f aca="true" t="shared" si="0" ref="F17:O17">SUM(F3:F4,F11:F12)</f>
        <v>0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7">
        <f t="shared" si="0"/>
        <v>0</v>
      </c>
      <c r="N17" s="7">
        <f t="shared" si="0"/>
        <v>0</v>
      </c>
      <c r="O17" s="7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S63"/>
  <sheetViews>
    <sheetView zoomScalePageLayoutView="0" workbookViewId="0" topLeftCell="A1">
      <pane xSplit="1" ySplit="2" topLeftCell="B3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B3" sqref="B3"/>
    </sheetView>
  </sheetViews>
  <sheetFormatPr defaultColWidth="8.7109375" defaultRowHeight="15"/>
  <cols>
    <col min="1" max="1" width="29.7109375" style="0" customWidth="1"/>
    <col min="2" max="4" width="8.7109375" style="0" customWidth="1"/>
    <col min="5" max="5" width="12.7109375" style="0" bestFit="1" customWidth="1"/>
  </cols>
  <sheetData>
    <row r="1" ht="15">
      <c r="A1" s="4" t="s">
        <v>119</v>
      </c>
    </row>
    <row r="2" spans="1:17" ht="15">
      <c r="A2" t="s">
        <v>55</v>
      </c>
      <c r="B2" t="s">
        <v>325</v>
      </c>
      <c r="C2" t="s">
        <v>56</v>
      </c>
      <c r="G2" s="6" t="s">
        <v>283</v>
      </c>
      <c r="H2" s="6" t="s">
        <v>161</v>
      </c>
      <c r="I2" s="6" t="s">
        <v>162</v>
      </c>
      <c r="J2" s="6" t="s">
        <v>321</v>
      </c>
      <c r="K2" s="6" t="s">
        <v>16</v>
      </c>
      <c r="L2" s="6" t="s">
        <v>163</v>
      </c>
      <c r="M2" s="6" t="s">
        <v>164</v>
      </c>
      <c r="N2" s="6" t="s">
        <v>165</v>
      </c>
      <c r="O2" s="6" t="s">
        <v>101</v>
      </c>
      <c r="P2" s="6" t="s">
        <v>102</v>
      </c>
      <c r="Q2" s="6" t="s">
        <v>103</v>
      </c>
    </row>
    <row r="3" spans="1:17" ht="15">
      <c r="A3" t="s">
        <v>201</v>
      </c>
      <c r="B3">
        <f>IF(ISNUMBER(SEARCH("Electricity",'Packaging - User Input'!A$60)),'Packaging - User Input'!B$60,IF(ISNUMBER(SEARCH("electricity",'Packaging - User Input'!A$61)),'Packaging - User Input'!B$61,IF(ISNUMBER(SEARCH("electricity",'Packaging - User Input'!A$62)),'Packaging - User Input'!B$62,IF(ISNUMBER(SEARCH("electricity",'Packaging - User Input'!A$63)),'Packaging - User Input'!B$63,0))))</f>
        <v>0</v>
      </c>
      <c r="C3" t="s">
        <v>122</v>
      </c>
      <c r="G3">
        <f>$B3*LCI!G59</f>
        <v>0</v>
      </c>
      <c r="H3">
        <f>$B3*LCI!H59</f>
        <v>0</v>
      </c>
      <c r="I3">
        <f>$B3*LCI!I59</f>
        <v>0</v>
      </c>
      <c r="J3">
        <f>$B3*LCI!J59</f>
        <v>0</v>
      </c>
      <c r="K3">
        <f>$B3*LCI!K59</f>
        <v>0</v>
      </c>
      <c r="L3">
        <f>$B3*LCI!L59</f>
        <v>0</v>
      </c>
      <c r="M3">
        <f>$B3*LCI!M59</f>
        <v>0</v>
      </c>
      <c r="N3">
        <f>$B3*LCI!N59</f>
        <v>0</v>
      </c>
      <c r="O3">
        <f>$B3*LCI!O59</f>
        <v>0</v>
      </c>
      <c r="P3">
        <f>$B3*LCI!P59</f>
        <v>0</v>
      </c>
      <c r="Q3">
        <f>$B3*LCI!Q59</f>
        <v>0</v>
      </c>
    </row>
    <row r="4" spans="1:17" ht="15">
      <c r="A4" t="s">
        <v>424</v>
      </c>
      <c r="B4">
        <f>IF(ISNUMBER(SEARCH("Natural Gas in Therms",'Packaging - User Input'!A$60)),'Packaging - User Input'!B$60,IF(ISNUMBER(SEARCH("Natural Gas in Therms",'Packaging - User Input'!A$61)),'Packaging - User Input'!B$61,IF(ISNUMBER(SEARCH("Natural Gas in Therms",'Packaging - User Input'!A$62)),'Packaging - User Input'!B$62,IF(ISNUMBER(SEARCH("Natural Gas in Therms",'Packaging - User Input'!A$63)),'Packaging - User Input'!B$63,0))))*2.7545</f>
        <v>0</v>
      </c>
      <c r="C4" t="s">
        <v>265</v>
      </c>
      <c r="G4">
        <f>$B4*(LCI!G60+LCI!G61)</f>
        <v>0</v>
      </c>
      <c r="H4">
        <f>$B4*(LCI!H60+LCI!H61)</f>
        <v>0</v>
      </c>
      <c r="I4">
        <f>$B4*(LCI!I60+LCI!I61)</f>
        <v>0</v>
      </c>
      <c r="J4">
        <f>$B4*(LCI!J60+LCI!J61)</f>
        <v>0</v>
      </c>
      <c r="K4">
        <f>$B4*(LCI!K60+LCI!K61)</f>
        <v>0</v>
      </c>
      <c r="L4">
        <f>$B4*(LCI!L60+LCI!L61)</f>
        <v>0</v>
      </c>
      <c r="M4">
        <f>$B4*(LCI!M60+LCI!M61)</f>
        <v>0</v>
      </c>
      <c r="N4">
        <f>$B4*(LCI!N60+LCI!N61)</f>
        <v>0</v>
      </c>
      <c r="O4">
        <f>$B4*(LCI!O60+LCI!O61)</f>
        <v>0</v>
      </c>
      <c r="P4">
        <f>$B4*(LCI!P60+LCI!P61)</f>
        <v>0</v>
      </c>
      <c r="Q4">
        <f>$B4*(LCI!Q60+LCI!Q61)</f>
        <v>0</v>
      </c>
    </row>
    <row r="5" spans="1:17" ht="15">
      <c r="A5" t="s">
        <v>425</v>
      </c>
      <c r="B5">
        <f>IF(ISNUMBER(SEARCH("Natural Gas in 1,000 cubic feet (MCF)",'Packaging - User Input'!A$60)),'Packaging - User Input'!B$60,IF(ISNUMBER(SEARCH("Natural Gas in 1,000 cubic feet (MCF)",'Packaging - User Input'!A$61)),'Packaging - User Input'!B$61,IF(ISNUMBER(SEARCH("Natural Gas in 1,000 cubic feet (MCF)",'Packaging - User Input'!A$62)),'Packaging - User Input'!B$62,IF(ISNUMBER(SEARCH("Natural Gas in 1,000 cubic feet (MCF)",'Packaging - User Input'!A$63)),'Packaging - User Input'!B$63,0))))*28.316847</f>
        <v>0</v>
      </c>
      <c r="C5" t="s">
        <v>265</v>
      </c>
      <c r="G5">
        <f>$B5*(LCI!G60+LCI!G61)</f>
        <v>0</v>
      </c>
      <c r="H5">
        <f>$B5*(LCI!H60+LCI!H61)</f>
        <v>0</v>
      </c>
      <c r="I5">
        <f>$B5*(LCI!I60+LCI!I61)</f>
        <v>0</v>
      </c>
      <c r="J5">
        <f>$B5*(LCI!J60+LCI!J61)</f>
        <v>0</v>
      </c>
      <c r="K5">
        <f>$B5*(LCI!K60+LCI!K61)</f>
        <v>0</v>
      </c>
      <c r="L5">
        <f>$B5*(LCI!L60+LCI!L61)</f>
        <v>0</v>
      </c>
      <c r="M5">
        <f>$B5*(LCI!M60+LCI!M61)</f>
        <v>0</v>
      </c>
      <c r="N5">
        <f>$B5*(LCI!N60+LCI!N61)</f>
        <v>0</v>
      </c>
      <c r="O5">
        <f>$B5*(LCI!O60+LCI!O61)</f>
        <v>0</v>
      </c>
      <c r="P5">
        <f>$B5*(LCI!P60+LCI!P61)</f>
        <v>0</v>
      </c>
      <c r="Q5">
        <f>$B5*(LCI!Q60+LCI!Q61)</f>
        <v>0</v>
      </c>
    </row>
    <row r="11" spans="3:17" s="7" customFormat="1" ht="15">
      <c r="C11" s="21" t="s">
        <v>153</v>
      </c>
      <c r="D11" s="21"/>
      <c r="E11" s="21"/>
      <c r="G11" s="7">
        <f>SUM(G3:G10)</f>
        <v>0</v>
      </c>
      <c r="H11" s="7">
        <f aca="true" t="shared" si="0" ref="H11:Q11">SUM(H3:H10)</f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7">
        <f t="shared" si="0"/>
        <v>0</v>
      </c>
    </row>
    <row r="14" spans="1:6" ht="15">
      <c r="A14" s="37" t="s">
        <v>350</v>
      </c>
      <c r="B14" t="s">
        <v>133</v>
      </c>
      <c r="C14" t="s">
        <v>134</v>
      </c>
      <c r="D14" t="s">
        <v>135</v>
      </c>
      <c r="E14" t="s">
        <v>136</v>
      </c>
      <c r="F14" t="s">
        <v>137</v>
      </c>
    </row>
    <row r="15" spans="3:5" ht="15">
      <c r="C15" t="s">
        <v>61</v>
      </c>
      <c r="D15" t="s">
        <v>61</v>
      </c>
      <c r="E15" t="s">
        <v>61</v>
      </c>
    </row>
    <row r="16" spans="1:17" ht="15">
      <c r="A16" t="s">
        <v>221</v>
      </c>
      <c r="B16">
        <f>'Packaging - User Input'!B14</f>
        <v>0</v>
      </c>
      <c r="C16">
        <f>B16*6*0.0284</f>
        <v>0</v>
      </c>
      <c r="D16">
        <f>B16*Sheet2!F37/1000</f>
        <v>0</v>
      </c>
      <c r="E16">
        <f>IF(ISNUMBER(SEARCH("yes",'Packaging - User Input'!D14)),1.5*B16*(Sheet2!H37/1000),IF(ISNUMBER(SEARCH("NO",'Packaging - User Input'!D14)),B16*Sheet2!H37/1000,0))</f>
        <v>0</v>
      </c>
      <c r="F16" t="s">
        <v>138</v>
      </c>
      <c r="G16">
        <f>$D$16*LCI!G70+$E$16*LCI!$G71</f>
        <v>0</v>
      </c>
      <c r="H16">
        <f>$D$16*LCI!H70+$E$16*LCI!H71</f>
        <v>0</v>
      </c>
      <c r="I16">
        <f>$D$16*LCI!I70+$E$16*LCI!I71</f>
        <v>0</v>
      </c>
      <c r="J16">
        <f>$D$16*LCI!J70+$E$16*LCI!J71</f>
        <v>0</v>
      </c>
      <c r="K16">
        <f>$D$16*LCI!K70+$E$16*LCI!K71</f>
        <v>0</v>
      </c>
      <c r="L16">
        <f>$D$16*LCI!L70+$E$16*LCI!L71</f>
        <v>0</v>
      </c>
      <c r="M16">
        <f>$D$16*LCI!M70+$E$16*LCI!M71</f>
        <v>0</v>
      </c>
      <c r="N16">
        <f>$D$16*LCI!N70+$E$16*LCI!N71</f>
        <v>0</v>
      </c>
      <c r="O16">
        <f>$D$16*LCI!O70+$E$16*LCI!O71</f>
        <v>0</v>
      </c>
      <c r="P16">
        <f>$D$16*LCI!P70+$E$16*LCI!P71</f>
        <v>0</v>
      </c>
      <c r="Q16">
        <f>$D$16*LCI!Q70+$E$16*LCI!Q71</f>
        <v>0</v>
      </c>
    </row>
    <row r="17" spans="1:19" ht="15">
      <c r="A17" t="s">
        <v>222</v>
      </c>
      <c r="B17">
        <f>'Packaging - User Input'!B15</f>
        <v>0</v>
      </c>
      <c r="C17">
        <f>B17*8*0.0284</f>
        <v>0</v>
      </c>
      <c r="D17">
        <f>B17*Sheet2!F38/1000</f>
        <v>0</v>
      </c>
      <c r="E17">
        <f>IF(ISNUMBER(SEARCH("yes",'Packaging - User Input'!D15)),1.5*B17*(Sheet2!H38/1000),IF(ISNUMBER(SEARCH("NO",'Packaging - User Input'!D15)),B17*Sheet2!H38/1000,0))</f>
        <v>0</v>
      </c>
      <c r="F17" t="s">
        <v>139</v>
      </c>
      <c r="G17">
        <f>$D$17*LCI!G72+Packaging!$E$17*LCI!G71</f>
        <v>0</v>
      </c>
      <c r="H17">
        <f>$D$17*LCI!H72+Packaging!$E$17*LCI!H71</f>
        <v>0</v>
      </c>
      <c r="I17">
        <f>$D$17*LCI!I72+Packaging!$E$17*LCI!I71</f>
        <v>0</v>
      </c>
      <c r="J17">
        <f>$D$17*LCI!J72+Packaging!$E$17*LCI!J71</f>
        <v>0</v>
      </c>
      <c r="K17">
        <f>$D$17*LCI!K72+Packaging!$E$17*LCI!K71</f>
        <v>0</v>
      </c>
      <c r="L17">
        <f>$D$17*LCI!L72+Packaging!$E$17*LCI!L71</f>
        <v>0</v>
      </c>
      <c r="M17">
        <f>$D$17*LCI!M72+Packaging!$E$17*LCI!M71</f>
        <v>0</v>
      </c>
      <c r="N17">
        <f>$D$17*LCI!N72+Packaging!$E$17*LCI!N71</f>
        <v>0</v>
      </c>
      <c r="O17">
        <f>$D$17*LCI!O72+Packaging!$E$17*LCI!O71</f>
        <v>0</v>
      </c>
      <c r="P17">
        <f>$D$17*LCI!P72+Packaging!$E$17*LCI!P71</f>
        <v>0</v>
      </c>
      <c r="Q17">
        <f>$D$17*LCI!Q72+Packaging!$E$17*LCI!Q71</f>
        <v>0</v>
      </c>
      <c r="R17">
        <f>0.005493</f>
        <v>0.005493</v>
      </c>
      <c r="S17">
        <f>1.5*R17</f>
        <v>0.0082395</v>
      </c>
    </row>
    <row r="18" spans="1:17" ht="15">
      <c r="A18" t="s">
        <v>223</v>
      </c>
      <c r="B18">
        <f>'Packaging - User Input'!B16</f>
        <v>0</v>
      </c>
      <c r="C18">
        <f>B18*22*0.0284</f>
        <v>0</v>
      </c>
      <c r="D18">
        <f>B18*Sheet2!F39/1000</f>
        <v>0</v>
      </c>
      <c r="E18">
        <f>IF(ISNUMBER(SEARCH("yes",'Packaging - User Input'!D16)),1.5*B18*(Sheet2!H39/1000),IF(ISNUMBER(SEARCH("NO",'Packaging - User Input'!D16)),B18*Sheet2!H39/1000,0))</f>
        <v>0</v>
      </c>
      <c r="F18" t="s">
        <v>139</v>
      </c>
      <c r="G18">
        <f>$D$18*LCI!G72+Packaging!$E$18*LCI!G71</f>
        <v>0</v>
      </c>
      <c r="H18">
        <f>$D$18*LCI!H72+Packaging!$E$18*LCI!H71</f>
        <v>0</v>
      </c>
      <c r="I18">
        <f>$D$18*LCI!I72+Packaging!$E$18*LCI!I71</f>
        <v>0</v>
      </c>
      <c r="J18">
        <f>$D$18*LCI!J72+Packaging!$E$18*LCI!J71</f>
        <v>0</v>
      </c>
      <c r="K18">
        <f>$D$18*LCI!K72+Packaging!$E$18*LCI!K71</f>
        <v>0</v>
      </c>
      <c r="L18">
        <f>$D$18*LCI!L72+Packaging!$E$18*LCI!L71</f>
        <v>0</v>
      </c>
      <c r="M18">
        <f>$D$18*LCI!M72+Packaging!$E$18*LCI!M71</f>
        <v>0</v>
      </c>
      <c r="N18">
        <f>$D$18*LCI!N72+Packaging!$E$18*LCI!N71</f>
        <v>0</v>
      </c>
      <c r="O18">
        <f>$D$18*LCI!O72+Packaging!$E$18*LCI!O71</f>
        <v>0</v>
      </c>
      <c r="P18">
        <f>$D$18*LCI!P72+Packaging!$E$18*LCI!P71</f>
        <v>0</v>
      </c>
      <c r="Q18">
        <f>$D$18*LCI!Q72+Packaging!$E$18*LCI!Q71</f>
        <v>0</v>
      </c>
    </row>
    <row r="19" spans="1:17" ht="15">
      <c r="A19" t="s">
        <v>388</v>
      </c>
      <c r="B19">
        <f>'Packaging - User Input'!B17</f>
        <v>0</v>
      </c>
      <c r="C19">
        <f>B19*12*0.0284</f>
        <v>0</v>
      </c>
      <c r="D19">
        <f>B19*Sheet2!F40/1000</f>
        <v>0</v>
      </c>
      <c r="E19">
        <f>IF(ISNUMBER(SEARCH("yes",'Packaging - User Input'!D17)),1.5*B19*(Sheet2!H40/1000),IF(ISNUMBER(SEARCH("NO",'Packaging - User Input'!D17)),B19*Sheet2!H40/1000,0))</f>
        <v>0</v>
      </c>
      <c r="F19" t="s">
        <v>140</v>
      </c>
      <c r="G19">
        <f>$D$19*LCI!G70+Packaging!$E$19*LCI!G73</f>
        <v>0</v>
      </c>
      <c r="H19">
        <f>$D$19*LCI!H70+Packaging!$E$19*LCI!H73</f>
        <v>0</v>
      </c>
      <c r="I19">
        <f>$D$19*LCI!I70+Packaging!$E$19*LCI!I73</f>
        <v>0</v>
      </c>
      <c r="J19">
        <f>$D$19*LCI!J70+Packaging!$E$19*LCI!J73</f>
        <v>0</v>
      </c>
      <c r="K19">
        <f>$D$19*LCI!K70+Packaging!$E$19*LCI!K73</f>
        <v>0</v>
      </c>
      <c r="L19">
        <f>$D$19*LCI!L70+Packaging!$E$19*LCI!L73</f>
        <v>0</v>
      </c>
      <c r="M19">
        <f>$D$19*LCI!M70+Packaging!$E$19*LCI!M73</f>
        <v>0</v>
      </c>
      <c r="N19">
        <f>$D$19*LCI!N70+Packaging!$E$19*LCI!N73</f>
        <v>0</v>
      </c>
      <c r="O19">
        <f>$D$19*LCI!O70+Packaging!$E$19*LCI!O73</f>
        <v>0</v>
      </c>
      <c r="P19">
        <f>$D$19*LCI!P70+Packaging!$E$19*LCI!P73</f>
        <v>0</v>
      </c>
      <c r="Q19">
        <f>$D$19*LCI!Q70+Packaging!$E$19*LCI!Q73</f>
        <v>0</v>
      </c>
    </row>
    <row r="20" spans="1:17" ht="15">
      <c r="A20" t="s">
        <v>84</v>
      </c>
      <c r="B20">
        <f>'Packaging - User Input'!B18</f>
        <v>0</v>
      </c>
      <c r="C20">
        <f>B20*12*0.0284</f>
        <v>0</v>
      </c>
      <c r="D20">
        <f>B20*Sheet2!F41/1000</f>
        <v>0</v>
      </c>
      <c r="E20">
        <f>IF(ISNUMBER(SEARCH("yes",'Packaging - User Input'!D18)),1.5*B20*(Sheet2!H41/1000),IF(ISNUMBER(SEARCH("NO",'Packaging - User Input'!D18)),B20*Sheet2!H41/1000,0))</f>
        <v>0</v>
      </c>
      <c r="F20" t="s">
        <v>138</v>
      </c>
      <c r="G20">
        <f>$D$20*LCI!G70+Packaging!$E$20*LCI!G71</f>
        <v>0</v>
      </c>
      <c r="H20">
        <f>$D$20*LCI!H70+Packaging!$E$20*LCI!H71</f>
        <v>0</v>
      </c>
      <c r="I20">
        <f>$D$20*LCI!I70+Packaging!$E$20*LCI!I71</f>
        <v>0</v>
      </c>
      <c r="J20">
        <f>$D$20*LCI!J70+Packaging!$E$20*LCI!J71</f>
        <v>0</v>
      </c>
      <c r="K20">
        <f>$D$20*LCI!K70+Packaging!$E$20*LCI!K71</f>
        <v>0</v>
      </c>
      <c r="L20">
        <f>$D$20*LCI!L70+Packaging!$E$20*LCI!L71</f>
        <v>0</v>
      </c>
      <c r="M20">
        <f>$D$20*LCI!M70+Packaging!$E$20*LCI!M71</f>
        <v>0</v>
      </c>
      <c r="N20">
        <f>$D$20*LCI!N70+Packaging!$E$20*LCI!N71</f>
        <v>0</v>
      </c>
      <c r="O20">
        <f>$D$20*LCI!O70+Packaging!$E$20*LCI!O71</f>
        <v>0</v>
      </c>
      <c r="P20">
        <f>$D$20*LCI!P70+Packaging!$E$20*LCI!P71</f>
        <v>0</v>
      </c>
      <c r="Q20">
        <f>$D$20*LCI!Q70+Packaging!$E$20*LCI!Q71</f>
        <v>0</v>
      </c>
    </row>
    <row r="21" spans="1:17" ht="15">
      <c r="A21" t="s">
        <v>349</v>
      </c>
      <c r="B21">
        <f>'Packaging - User Input'!B19</f>
        <v>0</v>
      </c>
      <c r="C21">
        <f>B21*28*0.0284</f>
        <v>0</v>
      </c>
      <c r="D21">
        <f>B21*Sheet2!F42/1000</f>
        <v>0</v>
      </c>
      <c r="E21">
        <f>B21*Sheet2!H42/1000</f>
        <v>0</v>
      </c>
      <c r="F21" t="s">
        <v>138</v>
      </c>
      <c r="G21">
        <f>$D$21*LCI!G70+Packaging!$E$21*LCI!G71</f>
        <v>0</v>
      </c>
      <c r="H21">
        <f>$D$21*LCI!H70+Packaging!$E$21*LCI!H71</f>
        <v>0</v>
      </c>
      <c r="I21">
        <f>$D$21*LCI!I70+Packaging!$E$21*LCI!I71</f>
        <v>0</v>
      </c>
      <c r="J21">
        <f>$D$21*LCI!J70+Packaging!$E$21*LCI!J71</f>
        <v>0</v>
      </c>
      <c r="K21">
        <f>$D$21*LCI!K70+Packaging!$E$21*LCI!K71</f>
        <v>0</v>
      </c>
      <c r="L21">
        <f>$D$21*LCI!L70+Packaging!$E$21*LCI!L71</f>
        <v>0</v>
      </c>
      <c r="M21">
        <f>$D$21*LCI!M70+Packaging!$E$21*LCI!M71</f>
        <v>0</v>
      </c>
      <c r="N21">
        <f>$D$21*LCI!N70+Packaging!$E$21*LCI!N71</f>
        <v>0</v>
      </c>
      <c r="O21">
        <f>$D$21*LCI!O70+Packaging!$E$21*LCI!O71</f>
        <v>0</v>
      </c>
      <c r="P21">
        <f>$D$21*LCI!P70+Packaging!$E$21*LCI!P71</f>
        <v>0</v>
      </c>
      <c r="Q21">
        <f>$D$21*LCI!Q70+Packaging!$E$21*LCI!Q71</f>
        <v>0</v>
      </c>
    </row>
    <row r="22" spans="1:17" ht="15">
      <c r="A22" t="s">
        <v>376</v>
      </c>
      <c r="B22">
        <f>'Packaging - User Input'!B20</f>
        <v>0</v>
      </c>
      <c r="C22">
        <f>B22*6*0.0284</f>
        <v>0</v>
      </c>
      <c r="D22">
        <f>B22*Sheet2!F43/1000</f>
        <v>0</v>
      </c>
      <c r="E22">
        <f>B22*Sheet2!H43/1000</f>
        <v>0</v>
      </c>
      <c r="F22" t="s">
        <v>141</v>
      </c>
      <c r="G22">
        <f>$D$22*LCI!G74+Packaging!$E$22*LCI!G71</f>
        <v>0</v>
      </c>
      <c r="H22">
        <f>$D$22*LCI!H74+Packaging!$E$22*LCI!H71</f>
        <v>0</v>
      </c>
      <c r="I22">
        <f>$D$22*LCI!I74+Packaging!$E$22*LCI!I71</f>
        <v>0</v>
      </c>
      <c r="J22">
        <f>$D$22*LCI!J74+Packaging!$E$22*LCI!J71</f>
        <v>0</v>
      </c>
      <c r="K22">
        <f>$D$22*LCI!K74+Packaging!$E$22*LCI!K71</f>
        <v>0</v>
      </c>
      <c r="L22">
        <f>$D$22*LCI!L74+Packaging!$E$22*LCI!L71</f>
        <v>0</v>
      </c>
      <c r="M22">
        <f>$D$22*LCI!M74+Packaging!$E$22*LCI!M71</f>
        <v>0</v>
      </c>
      <c r="N22">
        <f>$D$22*LCI!N74+Packaging!$E$22*LCI!N71</f>
        <v>0</v>
      </c>
      <c r="O22">
        <f>$D$22*LCI!O74+Packaging!$E$22*LCI!O71</f>
        <v>0</v>
      </c>
      <c r="P22">
        <f>$D$22*LCI!P74+Packaging!$E$22*LCI!P71</f>
        <v>0</v>
      </c>
      <c r="Q22">
        <f>$D$22*LCI!Q74+Packaging!$E$22*LCI!Q71</f>
        <v>0</v>
      </c>
    </row>
    <row r="23" spans="1:17" ht="15">
      <c r="A23" t="s">
        <v>377</v>
      </c>
      <c r="B23">
        <f>'Packaging - User Input'!B21</f>
        <v>0</v>
      </c>
      <c r="C23">
        <f>B23*12*0.0284</f>
        <v>0</v>
      </c>
      <c r="D23">
        <f>B23*Sheet2!F44/1000</f>
        <v>0</v>
      </c>
      <c r="E23">
        <f>B23*Sheet2!H44/1000</f>
        <v>0</v>
      </c>
      <c r="F23" t="s">
        <v>141</v>
      </c>
      <c r="G23">
        <f>$D$23*LCI!G74+Packaging!$E$23*LCI!G71</f>
        <v>0</v>
      </c>
      <c r="H23">
        <f>$D$23*LCI!H74+Packaging!$E$23*LCI!H71</f>
        <v>0</v>
      </c>
      <c r="I23">
        <f>$D$23*LCI!I74+Packaging!$E$23*LCI!I71</f>
        <v>0</v>
      </c>
      <c r="J23">
        <f>$D$23*LCI!J74+Packaging!$E$23*LCI!J71</f>
        <v>0</v>
      </c>
      <c r="K23">
        <f>$D$23*LCI!K74+Packaging!$E$23*LCI!K71</f>
        <v>0</v>
      </c>
      <c r="L23">
        <f>$D$23*LCI!L74+Packaging!$E$23*LCI!L71</f>
        <v>0</v>
      </c>
      <c r="M23">
        <f>$D$23*LCI!M74+Packaging!$E$23*LCI!M71</f>
        <v>0</v>
      </c>
      <c r="N23">
        <f>$D$23*LCI!N74+Packaging!$E$23*LCI!N71</f>
        <v>0</v>
      </c>
      <c r="O23">
        <f>$D$23*LCI!O74+Packaging!$E$23*LCI!O71</f>
        <v>0</v>
      </c>
      <c r="P23">
        <f>$D$23*LCI!P74+Packaging!$E$23*LCI!P71</f>
        <v>0</v>
      </c>
      <c r="Q23">
        <f>$D$23*LCI!Q74+Packaging!$E$23*LCI!Q71</f>
        <v>0</v>
      </c>
    </row>
    <row r="24" spans="1:17" ht="15">
      <c r="A24" t="s">
        <v>378</v>
      </c>
      <c r="B24">
        <f>'Packaging - User Input'!B22</f>
        <v>0</v>
      </c>
      <c r="C24">
        <f>B24*20*0.0284</f>
        <v>0</v>
      </c>
      <c r="D24">
        <f>B24*Sheet2!F45/1000</f>
        <v>0</v>
      </c>
      <c r="E24">
        <f>B24*Sheet2!H45/1000</f>
        <v>0</v>
      </c>
      <c r="F24" t="s">
        <v>141</v>
      </c>
      <c r="G24">
        <f>$D$24*LCI!G74+Packaging!$E$24*LCI!G71</f>
        <v>0</v>
      </c>
      <c r="H24">
        <f>$D$24*LCI!H74+Packaging!$E$24*LCI!H71</f>
        <v>0</v>
      </c>
      <c r="I24">
        <f>$D$24*LCI!I74+Packaging!$E$24*LCI!I71</f>
        <v>0</v>
      </c>
      <c r="J24">
        <f>$D$24*LCI!J74+Packaging!$E$24*LCI!J71</f>
        <v>0</v>
      </c>
      <c r="K24">
        <f>$D$24*LCI!K74+Packaging!$E$24*LCI!K71</f>
        <v>0</v>
      </c>
      <c r="L24">
        <f>$D$24*LCI!L74+Packaging!$E$24*LCI!L71</f>
        <v>0</v>
      </c>
      <c r="M24">
        <f>$D$24*LCI!M74+Packaging!$E$24*LCI!M71</f>
        <v>0</v>
      </c>
      <c r="N24">
        <f>$D$24*LCI!N74+Packaging!$E$24*LCI!N71</f>
        <v>0</v>
      </c>
      <c r="O24">
        <f>$D$24*LCI!O74+Packaging!$E$24*LCI!O71</f>
        <v>0</v>
      </c>
      <c r="P24">
        <f>$D$24*LCI!P74+Packaging!$E$24*LCI!P71</f>
        <v>0</v>
      </c>
      <c r="Q24">
        <f>$D$24*LCI!Q74+Packaging!$E$24*LCI!Q71</f>
        <v>0</v>
      </c>
    </row>
    <row r="25" spans="1:17" ht="15">
      <c r="A25" t="s">
        <v>379</v>
      </c>
      <c r="B25">
        <f>'Packaging - User Input'!B23</f>
        <v>0</v>
      </c>
      <c r="C25">
        <f>B25*8*0.0284</f>
        <v>0</v>
      </c>
      <c r="D25">
        <f>B25*Sheet2!F46/1000</f>
        <v>0</v>
      </c>
      <c r="E25">
        <f>B25*Sheet2!H46/1000</f>
        <v>0</v>
      </c>
      <c r="F25" t="s">
        <v>142</v>
      </c>
      <c r="G25">
        <f>$D$25*LCI!G74+Packaging!$E$25*LCI!G68</f>
        <v>0</v>
      </c>
      <c r="H25">
        <f>$D$25*LCI!H74+Packaging!$E$25*LCI!H68</f>
        <v>0</v>
      </c>
      <c r="I25">
        <f>$D$25*LCI!I74+Packaging!$E$25*LCI!I68</f>
        <v>0</v>
      </c>
      <c r="J25">
        <f>$D$25*LCI!J74+Packaging!$E$25*LCI!J68</f>
        <v>0</v>
      </c>
      <c r="K25">
        <f>$D$25*LCI!K74+Packaging!$E$25*LCI!K68</f>
        <v>0</v>
      </c>
      <c r="L25">
        <f>$D$25*LCI!L74+Packaging!$E$25*LCI!L68</f>
        <v>0</v>
      </c>
      <c r="M25">
        <f>$D$25*LCI!M74+Packaging!$E$25*LCI!M68</f>
        <v>0</v>
      </c>
      <c r="N25">
        <f>$D$25*LCI!N74+Packaging!$E$25*LCI!N68</f>
        <v>0</v>
      </c>
      <c r="O25">
        <f>$D$25*LCI!O74+Packaging!$E$25*LCI!O68</f>
        <v>0</v>
      </c>
      <c r="P25">
        <f>$D$25*LCI!P74+Packaging!$E$25*LCI!P68</f>
        <v>0</v>
      </c>
      <c r="Q25">
        <f>$D$25*LCI!Q74+Packaging!$E$25*LCI!Q68</f>
        <v>0</v>
      </c>
    </row>
    <row r="26" spans="1:17" ht="15">
      <c r="A26" t="s">
        <v>383</v>
      </c>
      <c r="B26">
        <f>'Packaging - User Input'!B24</f>
        <v>0</v>
      </c>
      <c r="C26">
        <f>B26*56*0.0284</f>
        <v>0</v>
      </c>
      <c r="D26">
        <f>B26*Sheet2!F47/1000</f>
        <v>0</v>
      </c>
      <c r="E26">
        <f>B26*Sheet2!H47/1000</f>
        <v>0</v>
      </c>
      <c r="F26" t="s">
        <v>141</v>
      </c>
      <c r="G26">
        <f>$D$26*LCI!G74+Packaging!$E$26*LCI!G71</f>
        <v>0</v>
      </c>
      <c r="H26">
        <f>$D$26*LCI!H74+Packaging!$E$26*LCI!H71</f>
        <v>0</v>
      </c>
      <c r="I26">
        <f>$D$26*LCI!I74+Packaging!$E$26*LCI!I71</f>
        <v>0</v>
      </c>
      <c r="J26">
        <f>$D$26*LCI!J74+Packaging!$E$26*LCI!J71</f>
        <v>0</v>
      </c>
      <c r="K26">
        <f>$D$26*LCI!K74+Packaging!$E$26*LCI!K71</f>
        <v>0</v>
      </c>
      <c r="L26">
        <f>$D$26*LCI!L74+Packaging!$E$26*LCI!L71</f>
        <v>0</v>
      </c>
      <c r="M26">
        <f>$D$26*LCI!M74+Packaging!$E$26*LCI!M71</f>
        <v>0</v>
      </c>
      <c r="N26">
        <f>$D$26*LCI!N74+Packaging!$E$26*LCI!N71</f>
        <v>0</v>
      </c>
      <c r="O26">
        <f>$D$26*LCI!O74+Packaging!$E$26*LCI!O71</f>
        <v>0</v>
      </c>
      <c r="P26">
        <f>$D$26*LCI!P74+Packaging!$E$26*LCI!P71</f>
        <v>0</v>
      </c>
      <c r="Q26">
        <f>$D$26*LCI!Q74+Packaging!$E$26*LCI!Q71</f>
        <v>0</v>
      </c>
    </row>
    <row r="27" spans="1:17" ht="15">
      <c r="A27" t="s">
        <v>389</v>
      </c>
      <c r="B27">
        <f>'Packaging - User Input'!B25</f>
        <v>0</v>
      </c>
      <c r="C27">
        <f>B27*5*0.4536</f>
        <v>0</v>
      </c>
      <c r="D27">
        <f>B27*Sheet2!F48/1000</f>
        <v>0</v>
      </c>
      <c r="E27">
        <f>B27*Sheet2!H48/1000</f>
        <v>0</v>
      </c>
      <c r="F27" t="s">
        <v>143</v>
      </c>
      <c r="G27">
        <f>$D$27*LCI!G73+Packaging!$E$27*LCI!G71</f>
        <v>0</v>
      </c>
      <c r="H27">
        <f>$D$27*LCI!H73+Packaging!$E$27*LCI!H71</f>
        <v>0</v>
      </c>
      <c r="I27">
        <f>$D$27*LCI!I73+Packaging!$E$27*LCI!I71</f>
        <v>0</v>
      </c>
      <c r="J27">
        <f>$D$27*LCI!J73+Packaging!$E$27*LCI!J71</f>
        <v>0</v>
      </c>
      <c r="K27">
        <f>$D$27*LCI!K73+Packaging!$E$27*LCI!K71</f>
        <v>0</v>
      </c>
      <c r="L27">
        <f>$D$27*LCI!L73+Packaging!$E$27*LCI!L71</f>
        <v>0</v>
      </c>
      <c r="M27">
        <f>$D$27*LCI!M73+Packaging!$E$27*LCI!M71</f>
        <v>0</v>
      </c>
      <c r="N27">
        <f>$D$27*LCI!N73+Packaging!$E$27*LCI!N71</f>
        <v>0</v>
      </c>
      <c r="O27">
        <f>$D$27*LCI!O73+Packaging!$E$27*LCI!O71</f>
        <v>0</v>
      </c>
      <c r="P27">
        <f>$D$27*LCI!P73+Packaging!$E$27*LCI!P71</f>
        <v>0</v>
      </c>
      <c r="Q27">
        <f>$D$27*LCI!Q73+Packaging!$E$27*LCI!Q71</f>
        <v>0</v>
      </c>
    </row>
    <row r="28" spans="1:17" ht="15">
      <c r="A28" t="s">
        <v>346</v>
      </c>
      <c r="B28">
        <f>'Packaging - User Input'!B26</f>
        <v>0</v>
      </c>
      <c r="C28">
        <f>B28*6*0.4536</f>
        <v>0</v>
      </c>
      <c r="D28">
        <f>B28*Sheet2!F49/1000</f>
        <v>0</v>
      </c>
      <c r="E28">
        <f>B28*Sheet2!H49/1000</f>
        <v>0</v>
      </c>
      <c r="F28" t="s">
        <v>143</v>
      </c>
      <c r="G28">
        <f>$D$28*LCI!G73+Packaging!$E$28*LCI!G71</f>
        <v>0</v>
      </c>
      <c r="H28">
        <f>$D$28*LCI!H73+Packaging!$E$28*LCI!H71</f>
        <v>0</v>
      </c>
      <c r="I28">
        <f>$D$28*LCI!I73+Packaging!$E$28*LCI!I71</f>
        <v>0</v>
      </c>
      <c r="J28">
        <f>$D$28*LCI!J73+Packaging!$E$28*LCI!J71</f>
        <v>0</v>
      </c>
      <c r="K28">
        <f>$D$28*LCI!K73+Packaging!$E$28*LCI!K71</f>
        <v>0</v>
      </c>
      <c r="L28">
        <f>$D$28*LCI!L73+Packaging!$E$28*LCI!L71</f>
        <v>0</v>
      </c>
      <c r="M28">
        <f>$D$28*LCI!M73+Packaging!$E$28*LCI!M71</f>
        <v>0</v>
      </c>
      <c r="N28">
        <f>$D$28*LCI!N73+Packaging!$E$28*LCI!N71</f>
        <v>0</v>
      </c>
      <c r="O28">
        <f>$D$28*LCI!O73+Packaging!$E$28*LCI!O71</f>
        <v>0</v>
      </c>
      <c r="P28">
        <f>$D$28*LCI!P73+Packaging!$E$28*LCI!P71</f>
        <v>0</v>
      </c>
      <c r="Q28">
        <f>$D$28*LCI!Q73+Packaging!$E$28*LCI!Q71</f>
        <v>0</v>
      </c>
    </row>
    <row r="29" spans="1:17" ht="15">
      <c r="A29" t="s">
        <v>347</v>
      </c>
      <c r="B29">
        <f>'Packaging - User Input'!B27</f>
        <v>0</v>
      </c>
      <c r="C29">
        <f>B29*12*0.4536</f>
        <v>0</v>
      </c>
      <c r="D29">
        <f>B29*Sheet2!F50/1000</f>
        <v>0</v>
      </c>
      <c r="F29" t="s">
        <v>144</v>
      </c>
      <c r="G29">
        <f>$D$29*LCI!G73</f>
        <v>0</v>
      </c>
      <c r="H29">
        <f>$D$29*LCI!H73</f>
        <v>0</v>
      </c>
      <c r="I29">
        <f>$D$29*LCI!I73</f>
        <v>0</v>
      </c>
      <c r="J29">
        <f>$D$29*LCI!J73</f>
        <v>0</v>
      </c>
      <c r="K29">
        <f>$D$29*LCI!K73</f>
        <v>0</v>
      </c>
      <c r="L29">
        <f>$D$29*LCI!L73</f>
        <v>0</v>
      </c>
      <c r="M29">
        <f>$D$29*LCI!M73</f>
        <v>0</v>
      </c>
      <c r="N29">
        <f>$D$29*LCI!N73</f>
        <v>0</v>
      </c>
      <c r="O29">
        <f>$D$29*LCI!O73</f>
        <v>0</v>
      </c>
      <c r="P29">
        <f>$D$29*LCI!P73</f>
        <v>0</v>
      </c>
      <c r="Q29">
        <f>$D$29*LCI!Q73</f>
        <v>0</v>
      </c>
    </row>
    <row r="30" spans="1:17" ht="15">
      <c r="A30" t="s">
        <v>348</v>
      </c>
      <c r="B30">
        <f>'Packaging - User Input'!B28</f>
        <v>0</v>
      </c>
      <c r="C30">
        <f>B30*5*12*0.4536</f>
        <v>0</v>
      </c>
      <c r="D30">
        <f>B30*Sheet2!F51/1000</f>
        <v>0</v>
      </c>
      <c r="F30" t="s">
        <v>144</v>
      </c>
      <c r="G30">
        <f>$D$30*LCI!G73</f>
        <v>0</v>
      </c>
      <c r="H30">
        <f>$D$30*LCI!H73</f>
        <v>0</v>
      </c>
      <c r="I30">
        <f>$D$30*LCI!I73</f>
        <v>0</v>
      </c>
      <c r="J30">
        <f>$D$30*LCI!J73</f>
        <v>0</v>
      </c>
      <c r="K30">
        <f>$D$30*LCI!K73</f>
        <v>0</v>
      </c>
      <c r="L30">
        <f>$D$30*LCI!L73</f>
        <v>0</v>
      </c>
      <c r="M30">
        <f>$D$30*LCI!M73</f>
        <v>0</v>
      </c>
      <c r="N30">
        <f>$D$30*LCI!N73</f>
        <v>0</v>
      </c>
      <c r="O30">
        <f>$D$30*LCI!O73</f>
        <v>0</v>
      </c>
      <c r="P30">
        <f>$D$30*LCI!P73</f>
        <v>0</v>
      </c>
      <c r="Q30">
        <f>$D$30*LCI!Q73</f>
        <v>0</v>
      </c>
    </row>
    <row r="31" spans="1:17" ht="15">
      <c r="A31" t="s">
        <v>438</v>
      </c>
      <c r="B31">
        <f>'Packaging - User Input'!D31</f>
        <v>0</v>
      </c>
      <c r="C31">
        <f>B31*'Packaging - User Input'!B31*0.0284</f>
        <v>0</v>
      </c>
      <c r="D31">
        <f>(IF('Packaging - User Input'!B31&lt;20,B31*'Packaging - User Input'!B31*Sheet1!$E$23/1000,B31*'Packaging - User Input'!B31*Sheet1!$E$24/1000))</f>
        <v>0</v>
      </c>
      <c r="E31">
        <f>(IF('Packaging - User Input'!B31&lt;20,B31*'Packaging - User Input'!B31*Sheet1!$F$23/1000,B31*'Packaging - User Input'!B31*Sheet1!$F$24/1000))</f>
        <v>0</v>
      </c>
      <c r="F31" t="s">
        <v>141</v>
      </c>
      <c r="G31">
        <f>$D$31*LCI!G74+Packaging!$E$31*LCI!G71</f>
        <v>0</v>
      </c>
      <c r="H31">
        <f>$D$31*LCI!H74+Packaging!$E$31*LCI!H71</f>
        <v>0</v>
      </c>
      <c r="I31">
        <f>$D$31*LCI!I74+Packaging!$E$31*LCI!I71</f>
        <v>0</v>
      </c>
      <c r="J31">
        <f>$D$31*LCI!J74+Packaging!$E$31*LCI!J71</f>
        <v>0</v>
      </c>
      <c r="K31">
        <f>$D$31*LCI!K74+Packaging!$E$31*LCI!K71</f>
        <v>0</v>
      </c>
      <c r="L31">
        <f>$D$31*LCI!L74+Packaging!$E$31*LCI!L71</f>
        <v>0</v>
      </c>
      <c r="M31">
        <f>$D$31*LCI!M74+Packaging!$E$31*LCI!M71</f>
        <v>0</v>
      </c>
      <c r="N31">
        <f>$D$31*LCI!N74+Packaging!$E$31*LCI!N71</f>
        <v>0</v>
      </c>
      <c r="O31">
        <f>$D$31*LCI!O74+Packaging!$E$31*LCI!O71</f>
        <v>0</v>
      </c>
      <c r="P31">
        <f>$D$31*LCI!P74+Packaging!$E$31*LCI!P71</f>
        <v>0</v>
      </c>
      <c r="Q31">
        <f>$D$31*LCI!Q74+Packaging!$E$31*LCI!Q71</f>
        <v>0</v>
      </c>
    </row>
    <row r="32" spans="1:17" ht="15">
      <c r="A32" t="s">
        <v>438</v>
      </c>
      <c r="B32">
        <f>'Packaging - User Input'!D32</f>
        <v>0</v>
      </c>
      <c r="C32">
        <f>B32*'Packaging - User Input'!B32*0.0284</f>
        <v>0</v>
      </c>
      <c r="D32">
        <f>(IF('Packaging - User Input'!B32&lt;20,B32*'Packaging - User Input'!B32*Sheet1!$E$23/1000,B32*'Packaging - User Input'!B32*Sheet1!$E$24/1000))</f>
        <v>0</v>
      </c>
      <c r="E32">
        <f>(IF('Packaging - User Input'!B32&lt;20,B32*'Packaging - User Input'!B32*Sheet1!$F$23/1000,B32*'Packaging - User Input'!B32*Sheet1!$F$24/1000))</f>
        <v>0</v>
      </c>
      <c r="F32" t="s">
        <v>141</v>
      </c>
      <c r="G32">
        <f>$D$32*LCI!G74+Packaging!$E$32*LCI!G71</f>
        <v>0</v>
      </c>
      <c r="H32">
        <f>$D$32*LCI!H74+Packaging!$E$32*LCI!H71</f>
        <v>0</v>
      </c>
      <c r="I32">
        <f>$D$32*LCI!I74+Packaging!$E$32*LCI!I71</f>
        <v>0</v>
      </c>
      <c r="J32">
        <f>$D$32*LCI!J74+Packaging!$E$32*LCI!J71</f>
        <v>0</v>
      </c>
      <c r="K32">
        <f>$D$32*LCI!K74+Packaging!$E$32*LCI!K71</f>
        <v>0</v>
      </c>
      <c r="L32">
        <f>$D$32*LCI!L74+Packaging!$E$32*LCI!L71</f>
        <v>0</v>
      </c>
      <c r="M32">
        <f>$D$32*LCI!M74+Packaging!$E$32*LCI!M71</f>
        <v>0</v>
      </c>
      <c r="N32">
        <f>$D$32*LCI!N74+Packaging!$E$32*LCI!N71</f>
        <v>0</v>
      </c>
      <c r="O32">
        <f>$D$32*LCI!O74+Packaging!$E$32*LCI!O71</f>
        <v>0</v>
      </c>
      <c r="P32">
        <f>$D$32*LCI!P74+Packaging!$E$32*LCI!P71</f>
        <v>0</v>
      </c>
      <c r="Q32">
        <f>$D$32*LCI!Q74+Packaging!$E$32*LCI!Q71</f>
        <v>0</v>
      </c>
    </row>
    <row r="33" spans="1:17" ht="15">
      <c r="A33" t="s">
        <v>438</v>
      </c>
      <c r="B33">
        <f>'Packaging - User Input'!D33</f>
        <v>0</v>
      </c>
      <c r="C33">
        <f>B33*'Packaging - User Input'!B33*0.0284</f>
        <v>0</v>
      </c>
      <c r="D33">
        <f>(IF('Packaging - User Input'!B33&lt;20,B33*'Packaging - User Input'!B33*Sheet1!$E$23/1000,B33*'Packaging - User Input'!B33*Sheet1!$E$24/1000))</f>
        <v>0</v>
      </c>
      <c r="E33">
        <f>(IF('Packaging - User Input'!B33&lt;20,B33*'Packaging - User Input'!B33*Sheet1!$F$23/1000,B33*'Packaging - User Input'!B33*Sheet1!$F$24/1000))</f>
        <v>0</v>
      </c>
      <c r="F33" t="s">
        <v>141</v>
      </c>
      <c r="G33">
        <f>$D$33*LCI!G74+Packaging!$E$33*LCI!G71</f>
        <v>0</v>
      </c>
      <c r="H33">
        <f>$D$33*LCI!H74+Packaging!$E$33*LCI!H71</f>
        <v>0</v>
      </c>
      <c r="I33">
        <f>$D$33*LCI!I74+Packaging!$E$33*LCI!I71</f>
        <v>0</v>
      </c>
      <c r="J33">
        <f>$D$33*LCI!J74+Packaging!$E$33*LCI!J71</f>
        <v>0</v>
      </c>
      <c r="K33">
        <f>$D$33*LCI!K74+Packaging!$E$33*LCI!K71</f>
        <v>0</v>
      </c>
      <c r="L33">
        <f>$D$33*LCI!L74+Packaging!$E$33*LCI!L71</f>
        <v>0</v>
      </c>
      <c r="M33">
        <f>$D$33*LCI!M74+Packaging!$E$33*LCI!M71</f>
        <v>0</v>
      </c>
      <c r="N33">
        <f>$D$33*LCI!N74+Packaging!$E$33*LCI!N71</f>
        <v>0</v>
      </c>
      <c r="O33">
        <f>$D$33*LCI!O74+Packaging!$E$33*LCI!O71</f>
        <v>0</v>
      </c>
      <c r="P33">
        <f>$D$33*LCI!P74+Packaging!$E$33*LCI!P71</f>
        <v>0</v>
      </c>
      <c r="Q33">
        <f>$D$33*LCI!Q74+Packaging!$E$33*LCI!Q71</f>
        <v>0</v>
      </c>
    </row>
    <row r="34" spans="1:17" ht="15">
      <c r="A34" t="s">
        <v>438</v>
      </c>
      <c r="B34">
        <f>'Packaging - User Input'!D34</f>
        <v>0</v>
      </c>
      <c r="C34">
        <f>B34*'Packaging - User Input'!B34*0.0284</f>
        <v>0</v>
      </c>
      <c r="D34">
        <f>(IF('Packaging - User Input'!B34&lt;20,B34*'Packaging - User Input'!B34*Sheet1!$E$23/1000,B34*'Packaging - User Input'!B34*Sheet1!$E$24/1000))</f>
        <v>0</v>
      </c>
      <c r="E34">
        <f>(IF('Packaging - User Input'!B34&lt;20,B34*'Packaging - User Input'!B34*Sheet1!$F$23/1000,B34*'Packaging - User Input'!B34*Sheet1!$F$24/1000))</f>
        <v>0</v>
      </c>
      <c r="F34" t="s">
        <v>141</v>
      </c>
      <c r="G34">
        <f>$D$34*LCI!G74+Packaging!$E$34*LCI!G71</f>
        <v>0</v>
      </c>
      <c r="H34">
        <f>$D$34*LCI!H74+Packaging!$E$34*LCI!H71</f>
        <v>0</v>
      </c>
      <c r="I34">
        <f>$D$34*LCI!I74+Packaging!$E$34*LCI!I71</f>
        <v>0</v>
      </c>
      <c r="J34">
        <f>$D$34*LCI!J74+Packaging!$E$34*LCI!J71</f>
        <v>0</v>
      </c>
      <c r="K34">
        <f>$D$34*LCI!K74+Packaging!$E$34*LCI!K71</f>
        <v>0</v>
      </c>
      <c r="L34">
        <f>$D$34*LCI!L74+Packaging!$E$34*LCI!L71</f>
        <v>0</v>
      </c>
      <c r="M34">
        <f>$D$34*LCI!M74+Packaging!$E$34*LCI!M71</f>
        <v>0</v>
      </c>
      <c r="N34">
        <f>$D$34*LCI!N74+Packaging!$E$34*LCI!N71</f>
        <v>0</v>
      </c>
      <c r="O34">
        <f>$D$34*LCI!O74+Packaging!$E$34*LCI!O71</f>
        <v>0</v>
      </c>
      <c r="P34">
        <f>$D$34*LCI!P74+Packaging!$E$34*LCI!P71</f>
        <v>0</v>
      </c>
      <c r="Q34">
        <f>$D$34*LCI!Q74+Packaging!$E$34*LCI!Q71</f>
        <v>0</v>
      </c>
    </row>
    <row r="35" spans="1:17" ht="15">
      <c r="A35" t="s">
        <v>313</v>
      </c>
      <c r="B35">
        <f>'Packaging - User Input'!D35</f>
        <v>0</v>
      </c>
      <c r="C35">
        <f>B35*'Packaging - User Input'!B35*0.0284</f>
        <v>0</v>
      </c>
      <c r="D35">
        <f>(IF('Packaging - User Input'!B35&lt;20,B35*'Packaging - User Input'!B35*Sheet1!$E$13/1000,B35*'Packaging - User Input'!B35*Sheet1!$E$14/1000))</f>
        <v>0</v>
      </c>
      <c r="E35" s="68">
        <f>IF(ISNUMBER(SEARCH("Yes",'Packaging - User Input'!F35)),B35*Sheet1!F29/1000,IF(ISNUMBER(SEARCH("No",'Packaging - User Input'!F35)),B35*Sheet1!H29/1000,0))</f>
        <v>0</v>
      </c>
      <c r="F35" t="s">
        <v>314</v>
      </c>
      <c r="G35">
        <f>$D$35*LCI!G72+Packaging!$E$35*LCI!G71</f>
        <v>0</v>
      </c>
      <c r="H35">
        <f>$D$35*LCI!H72+Packaging!$E$35*LCI!H71</f>
        <v>0</v>
      </c>
      <c r="I35">
        <f>$D$35*LCI!I72+Packaging!$E$35*LCI!I71</f>
        <v>0</v>
      </c>
      <c r="J35">
        <f>$D$35*LCI!J72+Packaging!$E$35*LCI!J71</f>
        <v>0</v>
      </c>
      <c r="K35">
        <f>$D$35*LCI!K72+Packaging!$E$35*LCI!K71</f>
        <v>0</v>
      </c>
      <c r="L35">
        <f>$D$35*LCI!L72+Packaging!$E$35*LCI!L71</f>
        <v>0</v>
      </c>
      <c r="M35">
        <f>$D$35*LCI!M72+Packaging!$E$35*LCI!M71</f>
        <v>0</v>
      </c>
      <c r="N35">
        <f>$D$35*LCI!N72+Packaging!$E$35*LCI!N71</f>
        <v>0</v>
      </c>
      <c r="O35">
        <f>$D$35*LCI!O72+Packaging!$E$35*LCI!O71</f>
        <v>0</v>
      </c>
      <c r="P35">
        <f>$D$35*LCI!P72+Packaging!$E$35*LCI!P71</f>
        <v>0</v>
      </c>
      <c r="Q35">
        <f>$D$35*LCI!Q72+Packaging!$E$35*LCI!Q71</f>
        <v>0</v>
      </c>
    </row>
    <row r="36" spans="1:17" ht="15">
      <c r="A36" t="s">
        <v>313</v>
      </c>
      <c r="B36">
        <f>'Packaging - User Input'!D36</f>
        <v>0</v>
      </c>
      <c r="C36">
        <f>B36*'Packaging - User Input'!B36*0.0284</f>
        <v>0</v>
      </c>
      <c r="D36">
        <f>(IF('Packaging - User Input'!B36&lt;20,B36*'Packaging - User Input'!B36*Sheet1!$E$13/1000,B36*'Packaging - User Input'!B36*Sheet1!$E$14/1000))</f>
        <v>0</v>
      </c>
      <c r="E36" s="69">
        <f>IF(ISNUMBER(SEARCH("Yes",'Packaging - User Input'!F36)),B36*Sheet1!F30/1000,IF(ISNUMBER(SEARCH("No",'Packaging - User Input'!F36)),B36*Sheet1!H30/1000,0))</f>
        <v>0</v>
      </c>
      <c r="F36" t="s">
        <v>314</v>
      </c>
      <c r="G36">
        <f>$D$36*LCI!G72+Packaging!$E$36*LCI!G71</f>
        <v>0</v>
      </c>
      <c r="H36">
        <f>$D$36*LCI!H72+Packaging!$E$36*LCI!H71</f>
        <v>0</v>
      </c>
      <c r="I36">
        <f>$D$36*LCI!I72+Packaging!$E$36*LCI!I71</f>
        <v>0</v>
      </c>
      <c r="J36">
        <f>$D$36*LCI!J72+Packaging!$E$36*LCI!J71</f>
        <v>0</v>
      </c>
      <c r="K36">
        <f>$D$36*LCI!K72+Packaging!$E$36*LCI!K71</f>
        <v>0</v>
      </c>
      <c r="L36">
        <f>$D$36*LCI!L72+Packaging!$E$36*LCI!L71</f>
        <v>0</v>
      </c>
      <c r="M36">
        <f>$D$36*LCI!M72+Packaging!$E$36*LCI!M71</f>
        <v>0</v>
      </c>
      <c r="N36">
        <f>$D$36*LCI!N72+Packaging!$E$36*LCI!N71</f>
        <v>0</v>
      </c>
      <c r="O36">
        <f>$D$36*LCI!O72+Packaging!$E$36*LCI!O71</f>
        <v>0</v>
      </c>
      <c r="P36">
        <f>$D$36*LCI!P72+Packaging!$E$36*LCI!P71</f>
        <v>0</v>
      </c>
      <c r="Q36">
        <f>$D$36*LCI!Q72+Packaging!$E$36*LCI!Q71</f>
        <v>0</v>
      </c>
    </row>
    <row r="37" spans="1:17" ht="15">
      <c r="A37" t="s">
        <v>313</v>
      </c>
      <c r="B37">
        <f>'Packaging - User Input'!D37</f>
        <v>0</v>
      </c>
      <c r="C37">
        <f>B37*'Packaging - User Input'!B37*0.0284</f>
        <v>0</v>
      </c>
      <c r="D37">
        <f>(IF('Packaging - User Input'!B37&lt;20,B37*'Packaging - User Input'!B37*Sheet1!$E$13/1000,B37*'Packaging - User Input'!B37*Sheet1!$E$14/1000))</f>
        <v>0</v>
      </c>
      <c r="E37" s="70">
        <f>IF(ISNUMBER(SEARCH("Yes",'Packaging - User Input'!F37)),B37*Sheet1!F31/1000,IF(ISNUMBER(SEARCH("No",'Packaging - User Input'!F37)),B37*Sheet1!H31/1000,0))</f>
        <v>0</v>
      </c>
      <c r="F37" t="s">
        <v>314</v>
      </c>
      <c r="G37">
        <f>$D$37*LCI!G72+Packaging!$E$37*LCI!G71</f>
        <v>0</v>
      </c>
      <c r="H37">
        <f>$D$37*LCI!H72+Packaging!$E$37*LCI!H71</f>
        <v>0</v>
      </c>
      <c r="I37">
        <f>$D$37*LCI!I72+Packaging!$E$37*LCI!I71</f>
        <v>0</v>
      </c>
      <c r="J37">
        <f>$D$37*LCI!J72+Packaging!$E$37*LCI!J71</f>
        <v>0</v>
      </c>
      <c r="K37">
        <f>$D$37*LCI!K72+Packaging!$E$37*LCI!K71</f>
        <v>0</v>
      </c>
      <c r="L37">
        <f>$D$37*LCI!L72+Packaging!$E$37*LCI!L71</f>
        <v>0</v>
      </c>
      <c r="M37">
        <f>$D$37*LCI!M72+Packaging!$E$37*LCI!M71</f>
        <v>0</v>
      </c>
      <c r="N37">
        <f>$D$37*LCI!N72+Packaging!$E$37*LCI!N71</f>
        <v>0</v>
      </c>
      <c r="O37">
        <f>$D$37*LCI!O72+Packaging!$E$37*LCI!O71</f>
        <v>0</v>
      </c>
      <c r="P37">
        <f>$D$37*LCI!P72+Packaging!$E$37*LCI!P71</f>
        <v>0</v>
      </c>
      <c r="Q37">
        <f>$D$37*LCI!Q72+Packaging!$E$37*LCI!Q71</f>
        <v>0</v>
      </c>
    </row>
    <row r="38" spans="1:17" ht="15">
      <c r="A38" t="s">
        <v>313</v>
      </c>
      <c r="B38">
        <f>'Packaging - User Input'!D38</f>
        <v>0</v>
      </c>
      <c r="C38">
        <f>B38*'Packaging - User Input'!B38*0.0284</f>
        <v>0</v>
      </c>
      <c r="D38">
        <f>(IF('Packaging - User Input'!B38&lt;20,B38*'Packaging - User Input'!B38*Sheet1!$E$13/1000,B38*'Packaging - User Input'!B38*Sheet1!$E$14/1000))</f>
        <v>0</v>
      </c>
      <c r="E38" s="68">
        <f>IF(ISNUMBER(SEARCH("Yes",'Packaging - User Input'!F38)),B38*Sheet1!F32/1000,IF(ISNUMBER(SEARCH("No",'Packaging - User Input'!F38)),B38*Sheet1!H32/1000,0))</f>
        <v>0</v>
      </c>
      <c r="F38" t="s">
        <v>314</v>
      </c>
      <c r="G38">
        <f>$D$38*LCI!G72+Packaging!$E$38*LCI!G71</f>
        <v>0</v>
      </c>
      <c r="H38">
        <f>$D$38*LCI!H72+Packaging!$E$38*LCI!H71</f>
        <v>0</v>
      </c>
      <c r="I38">
        <f>$D$38*LCI!I72+Packaging!$E$38*LCI!I71</f>
        <v>0</v>
      </c>
      <c r="J38">
        <f>$D$38*LCI!J72+Packaging!$E$38*LCI!J71</f>
        <v>0</v>
      </c>
      <c r="K38">
        <f>$D$38*LCI!K72+Packaging!$E$38*LCI!K71</f>
        <v>0</v>
      </c>
      <c r="L38">
        <f>$D$38*LCI!L72+Packaging!$E$38*LCI!L71</f>
        <v>0</v>
      </c>
      <c r="M38">
        <f>$D$38*LCI!M72+Packaging!$E$38*LCI!M71</f>
        <v>0</v>
      </c>
      <c r="N38">
        <f>$D$38*LCI!N72+Packaging!$E$38*LCI!N71</f>
        <v>0</v>
      </c>
      <c r="O38">
        <f>$D$38*LCI!O72+Packaging!$E$38*LCI!O71</f>
        <v>0</v>
      </c>
      <c r="P38">
        <f>$D$38*LCI!P72+Packaging!$E$38*LCI!P71</f>
        <v>0</v>
      </c>
      <c r="Q38">
        <f>$D$38*LCI!Q72+Packaging!$E$38*LCI!Q71</f>
        <v>0</v>
      </c>
    </row>
    <row r="39" spans="1:17" s="25" customFormat="1" ht="15">
      <c r="A39" s="25" t="s">
        <v>310</v>
      </c>
      <c r="C39" s="25">
        <f>SUM(C16:C38)</f>
        <v>0</v>
      </c>
      <c r="G39" s="25">
        <f>SUM(G16:G38)</f>
        <v>0</v>
      </c>
      <c r="H39" s="25">
        <f aca="true" t="shared" si="1" ref="H39:Q39">SUM(H16:H38)</f>
        <v>0</v>
      </c>
      <c r="I39" s="25">
        <f t="shared" si="1"/>
        <v>0</v>
      </c>
      <c r="J39" s="25">
        <f t="shared" si="1"/>
        <v>0</v>
      </c>
      <c r="K39" s="25">
        <f t="shared" si="1"/>
        <v>0</v>
      </c>
      <c r="L39" s="25">
        <f t="shared" si="1"/>
        <v>0</v>
      </c>
      <c r="M39" s="25">
        <f t="shared" si="1"/>
        <v>0</v>
      </c>
      <c r="N39" s="25">
        <f t="shared" si="1"/>
        <v>0</v>
      </c>
      <c r="O39" s="25">
        <f t="shared" si="1"/>
        <v>0</v>
      </c>
      <c r="P39" s="25">
        <f t="shared" si="1"/>
        <v>0</v>
      </c>
      <c r="Q39" s="25">
        <f t="shared" si="1"/>
        <v>0</v>
      </c>
    </row>
    <row r="40" s="25" customFormat="1" ht="15">
      <c r="E40" s="5"/>
    </row>
    <row r="41" s="25" customFormat="1" ht="15"/>
    <row r="42" s="25" customFormat="1" ht="15">
      <c r="A42" s="25" t="s">
        <v>14</v>
      </c>
    </row>
    <row r="43" spans="1:17" s="5" customFormat="1" ht="15">
      <c r="A43" s="5" t="s">
        <v>15</v>
      </c>
      <c r="B43" s="5">
        <f>'Packaging - User Input'!B43</f>
        <v>0</v>
      </c>
      <c r="C43" s="5">
        <f>B43*55*12*0.4536</f>
        <v>0</v>
      </c>
      <c r="D43" s="5">
        <f>B43*36*0.4536</f>
        <v>0</v>
      </c>
      <c r="F43" s="5" t="s">
        <v>178</v>
      </c>
      <c r="G43" s="5">
        <f>($D$43/(10*4))*LCI!G75</f>
        <v>0</v>
      </c>
      <c r="H43" s="5">
        <f>($D$43/(10*4))*LCI!H75</f>
        <v>0</v>
      </c>
      <c r="I43" s="5">
        <f>($D$43/(10*4))*LCI!I75</f>
        <v>0</v>
      </c>
      <c r="J43" s="5">
        <f>($D$43/(10*4))*LCI!J75</f>
        <v>0</v>
      </c>
      <c r="K43" s="5">
        <f>($D$43/(10*4))*LCI!K75</f>
        <v>0</v>
      </c>
      <c r="L43" s="5">
        <f>($D$43/(10*4))*LCI!L75</f>
        <v>0</v>
      </c>
      <c r="M43" s="5">
        <f>($D$43/(10*4))*LCI!M75</f>
        <v>0</v>
      </c>
      <c r="N43" s="5">
        <f>($D$43/(10*4))*LCI!N75</f>
        <v>0</v>
      </c>
      <c r="O43" s="5">
        <f>($D$43/(10*4))*LCI!O75</f>
        <v>0</v>
      </c>
      <c r="P43" s="5">
        <f>($D$43/(10*4))*LCI!P75</f>
        <v>0</v>
      </c>
      <c r="Q43" s="5">
        <f>($D$43/(10*4))*LCI!Q75</f>
        <v>0</v>
      </c>
    </row>
    <row r="44" spans="1:17" s="5" customFormat="1" ht="15">
      <c r="A44" s="5" t="s">
        <v>370</v>
      </c>
      <c r="B44" s="5">
        <f>'Packaging - User Input'!B44</f>
        <v>0</v>
      </c>
      <c r="C44" s="5">
        <f>B44*275*12*0.4536</f>
        <v>0</v>
      </c>
      <c r="D44" s="5">
        <f>B44*130*0.4536</f>
        <v>0</v>
      </c>
      <c r="F44" s="5" t="s">
        <v>407</v>
      </c>
      <c r="G44" s="5">
        <f>($D$44/(10*4))*LCI!G72</f>
        <v>0</v>
      </c>
      <c r="H44" s="5">
        <f>($D$44/(10*4))*LCI!H72</f>
        <v>0</v>
      </c>
      <c r="I44" s="5">
        <f>($D$44/(10*4))*LCI!I72</f>
        <v>0</v>
      </c>
      <c r="J44" s="5">
        <f>($D$44/(10*4))*LCI!J72</f>
        <v>0</v>
      </c>
      <c r="K44" s="5">
        <f>($D$44/(10*4))*LCI!K72</f>
        <v>0</v>
      </c>
      <c r="L44" s="5">
        <f>($D$44/(10*4))*LCI!L72</f>
        <v>0</v>
      </c>
      <c r="M44" s="5">
        <f>($D$44/(10*4))*LCI!M72</f>
        <v>0</v>
      </c>
      <c r="N44" s="5">
        <f>($D$44/(10*4))*LCI!N72</f>
        <v>0</v>
      </c>
      <c r="O44" s="5">
        <f>($D$44/(10*4))*LCI!O72</f>
        <v>0</v>
      </c>
      <c r="P44" s="5">
        <f>($D$44/(10*4))*LCI!P72</f>
        <v>0</v>
      </c>
      <c r="Q44" s="5">
        <f>($D$44/(10*4))*LCI!Q72</f>
        <v>0</v>
      </c>
    </row>
    <row r="45" spans="1:17" s="5" customFormat="1" ht="15">
      <c r="A45" s="5" t="s">
        <v>371</v>
      </c>
      <c r="B45" s="5">
        <f>'Packaging - User Input'!B45</f>
        <v>0</v>
      </c>
      <c r="C45" s="5">
        <f>B45*275*12*0.4536</f>
        <v>0</v>
      </c>
      <c r="D45" s="5">
        <f>B45*128*0.4536</f>
        <v>0</v>
      </c>
      <c r="F45" s="5" t="s">
        <v>353</v>
      </c>
      <c r="G45" s="5">
        <f>($D$45/(10*4))*LCI!G69</f>
        <v>0</v>
      </c>
      <c r="H45" s="5">
        <f>($D$45/(10*4))*LCI!H69</f>
        <v>0</v>
      </c>
      <c r="I45" s="5">
        <f>($D$45/(10*4))*LCI!I69</f>
        <v>0</v>
      </c>
      <c r="J45" s="5">
        <f>($D$45/(10*4))*LCI!J69</f>
        <v>0</v>
      </c>
      <c r="K45" s="5">
        <f>($D$45/(10*4))*LCI!K69</f>
        <v>0</v>
      </c>
      <c r="L45" s="5">
        <f>($D$45/(10*4))*LCI!L69</f>
        <v>0</v>
      </c>
      <c r="M45" s="5">
        <f>($D$45/(10*4))*LCI!M69</f>
        <v>0</v>
      </c>
      <c r="N45" s="5">
        <f>($D$45/(10*4))*LCI!N69</f>
        <v>0</v>
      </c>
      <c r="O45" s="5">
        <f>($D$45/(10*4))*LCI!O69</f>
        <v>0</v>
      </c>
      <c r="P45" s="5">
        <f>($D$45/(10*4))*LCI!P69</f>
        <v>0</v>
      </c>
      <c r="Q45" s="5">
        <f>($D$45/(10*4))*LCI!Q69</f>
        <v>0</v>
      </c>
    </row>
    <row r="46" spans="1:17" s="5" customFormat="1" ht="15">
      <c r="A46" s="5" t="s">
        <v>86</v>
      </c>
      <c r="B46" s="5">
        <f>B45</f>
        <v>0</v>
      </c>
      <c r="D46" s="5">
        <f>B46*10*0.4536</f>
        <v>0</v>
      </c>
      <c r="F46" s="5" t="s">
        <v>87</v>
      </c>
      <c r="G46" s="5">
        <f>$D$46*LCI!G82</f>
        <v>0</v>
      </c>
      <c r="H46" s="5">
        <f>$D$46*LCI!H82</f>
        <v>0</v>
      </c>
      <c r="I46" s="5">
        <f>$D$46*LCI!I82</f>
        <v>0</v>
      </c>
      <c r="J46" s="5">
        <f>$D$46*LCI!J82</f>
        <v>0</v>
      </c>
      <c r="K46" s="5">
        <f>$D$46*LCI!K82</f>
        <v>0</v>
      </c>
      <c r="L46" s="5">
        <f>$D$46*LCI!L82</f>
        <v>0</v>
      </c>
      <c r="M46" s="5">
        <f>$D$46*LCI!M82</f>
        <v>0</v>
      </c>
      <c r="N46" s="5">
        <f>$D$46*LCI!N82</f>
        <v>0</v>
      </c>
      <c r="O46" s="5">
        <f>$D$46*LCI!O82</f>
        <v>0</v>
      </c>
      <c r="P46" s="5">
        <f>$D$46*LCI!P82</f>
        <v>0</v>
      </c>
      <c r="Q46" s="5">
        <f>$D$46*LCI!Q82</f>
        <v>0</v>
      </c>
    </row>
    <row r="47" spans="1:17" s="25" customFormat="1" ht="15">
      <c r="A47" s="25" t="s">
        <v>372</v>
      </c>
      <c r="C47" s="25">
        <f>SUM(C43:C45)</f>
        <v>0</v>
      </c>
      <c r="G47" s="25">
        <f>SUM(G43:G46)</f>
        <v>0</v>
      </c>
      <c r="H47" s="25">
        <f aca="true" t="shared" si="2" ref="H47:Q47">SUM(H43:H46)</f>
        <v>0</v>
      </c>
      <c r="I47" s="25">
        <f t="shared" si="2"/>
        <v>0</v>
      </c>
      <c r="J47" s="25">
        <f t="shared" si="2"/>
        <v>0</v>
      </c>
      <c r="K47" s="25">
        <f t="shared" si="2"/>
        <v>0</v>
      </c>
      <c r="L47" s="25">
        <f t="shared" si="2"/>
        <v>0</v>
      </c>
      <c r="M47" s="25">
        <f t="shared" si="2"/>
        <v>0</v>
      </c>
      <c r="N47" s="25">
        <f t="shared" si="2"/>
        <v>0</v>
      </c>
      <c r="O47" s="25">
        <f t="shared" si="2"/>
        <v>0</v>
      </c>
      <c r="P47" s="25">
        <f t="shared" si="2"/>
        <v>0</v>
      </c>
      <c r="Q47" s="25">
        <f t="shared" si="2"/>
        <v>0</v>
      </c>
    </row>
    <row r="48" s="5" customFormat="1" ht="15"/>
    <row r="49" s="5" customFormat="1" ht="15"/>
    <row r="50" s="5" customFormat="1" ht="15"/>
    <row r="51" s="5" customFormat="1" ht="15"/>
    <row r="53" spans="1:3" ht="15">
      <c r="A53" s="37" t="s">
        <v>209</v>
      </c>
      <c r="C53" t="s">
        <v>210</v>
      </c>
    </row>
    <row r="54" spans="1:17" ht="15">
      <c r="A54" t="s">
        <v>351</v>
      </c>
      <c r="C54">
        <f>'Packaging - User Input'!B48*0.4536</f>
        <v>0</v>
      </c>
      <c r="G54">
        <f>$C$54*LCI!G68</f>
        <v>0</v>
      </c>
      <c r="H54">
        <f>$C$54*LCI!H68</f>
        <v>0</v>
      </c>
      <c r="I54">
        <f>$C$54*LCI!I68</f>
        <v>0</v>
      </c>
      <c r="J54">
        <f>$C$54*LCI!J68</f>
        <v>0</v>
      </c>
      <c r="K54">
        <f>$C$54*LCI!K68</f>
        <v>0</v>
      </c>
      <c r="L54">
        <f>$C$54*LCI!L68</f>
        <v>0</v>
      </c>
      <c r="M54">
        <f>$C$54*LCI!M68</f>
        <v>0</v>
      </c>
      <c r="N54">
        <f>$C$54*LCI!N68</f>
        <v>0</v>
      </c>
      <c r="O54">
        <f>$C$54*LCI!O68</f>
        <v>0</v>
      </c>
      <c r="P54">
        <f>$C$54*LCI!P68</f>
        <v>0</v>
      </c>
      <c r="Q54">
        <f>$C$54*LCI!Q68</f>
        <v>0</v>
      </c>
    </row>
    <row r="55" spans="1:17" ht="15">
      <c r="A55" t="s">
        <v>353</v>
      </c>
      <c r="C55">
        <f>'Packaging - User Input'!B49*0.4536</f>
        <v>0</v>
      </c>
      <c r="G55">
        <f>$C$55*LCI!G69</f>
        <v>0</v>
      </c>
      <c r="H55">
        <f>$C$55*LCI!H69</f>
        <v>0</v>
      </c>
      <c r="I55">
        <f>$C$55*LCI!I69</f>
        <v>0</v>
      </c>
      <c r="J55">
        <f>$C$55*LCI!J69</f>
        <v>0</v>
      </c>
      <c r="K55">
        <f>$C$55*LCI!K69</f>
        <v>0</v>
      </c>
      <c r="L55">
        <f>$C$55*LCI!L69</f>
        <v>0</v>
      </c>
      <c r="M55">
        <f>$C$55*LCI!M69</f>
        <v>0</v>
      </c>
      <c r="N55">
        <f>$C$55*LCI!N69</f>
        <v>0</v>
      </c>
      <c r="O55">
        <f>$C$55*LCI!O69</f>
        <v>0</v>
      </c>
      <c r="P55">
        <f>$C$55*LCI!P69</f>
        <v>0</v>
      </c>
      <c r="Q55">
        <f>$C$55*LCI!Q69</f>
        <v>0</v>
      </c>
    </row>
    <row r="56" spans="1:17" s="25" customFormat="1" ht="15">
      <c r="A56" s="25" t="s">
        <v>368</v>
      </c>
      <c r="G56" s="25">
        <f>SUM(G54:G55)</f>
        <v>0</v>
      </c>
      <c r="H56" s="25">
        <f aca="true" t="shared" si="3" ref="H56:Q56">SUM(H54:H55)</f>
        <v>0</v>
      </c>
      <c r="I56" s="25">
        <f t="shared" si="3"/>
        <v>0</v>
      </c>
      <c r="J56" s="25">
        <f t="shared" si="3"/>
        <v>0</v>
      </c>
      <c r="K56" s="25">
        <f t="shared" si="3"/>
        <v>0</v>
      </c>
      <c r="L56" s="25">
        <f t="shared" si="3"/>
        <v>0</v>
      </c>
      <c r="M56" s="25">
        <f t="shared" si="3"/>
        <v>0</v>
      </c>
      <c r="N56" s="25">
        <f t="shared" si="3"/>
        <v>0</v>
      </c>
      <c r="O56" s="25">
        <f t="shared" si="3"/>
        <v>0</v>
      </c>
      <c r="P56" s="25">
        <f t="shared" si="3"/>
        <v>0</v>
      </c>
      <c r="Q56" s="25">
        <f t="shared" si="3"/>
        <v>0</v>
      </c>
    </row>
    <row r="58" ht="15">
      <c r="A58" s="37" t="s">
        <v>522</v>
      </c>
    </row>
    <row r="59" spans="1:17" ht="15">
      <c r="A59" t="s">
        <v>211</v>
      </c>
      <c r="B59">
        <f>'Packaging - User Input'!B53</f>
        <v>0</v>
      </c>
      <c r="C59" t="s">
        <v>311</v>
      </c>
      <c r="G59" s="245">
        <f>$B$59*LCI!G79</f>
        <v>0</v>
      </c>
      <c r="H59" s="245">
        <f>$B$59*LCI!H79</f>
        <v>0</v>
      </c>
      <c r="I59" s="245">
        <f>$B$59*LCI!I79</f>
        <v>0</v>
      </c>
      <c r="J59" s="245">
        <f>$B$59*LCI!J79</f>
        <v>0</v>
      </c>
      <c r="K59" s="245">
        <f>$B$59*LCI!K79</f>
        <v>0</v>
      </c>
      <c r="L59" s="245">
        <f>$B$59*LCI!L79</f>
        <v>0</v>
      </c>
      <c r="M59" s="245">
        <f>$B$59*LCI!M79</f>
        <v>0</v>
      </c>
      <c r="N59" s="245">
        <f>$B$59*LCI!N79</f>
        <v>0</v>
      </c>
      <c r="O59" s="245">
        <f>$B$59*LCI!O79</f>
        <v>0</v>
      </c>
      <c r="P59" s="245">
        <f>$B$59*LCI!P79</f>
        <v>0</v>
      </c>
      <c r="Q59" s="245">
        <f>$B$59*LCI!Q79</f>
        <v>0</v>
      </c>
    </row>
    <row r="60" spans="1:17" ht="15">
      <c r="A60" t="s">
        <v>308</v>
      </c>
      <c r="B60">
        <f>'Packaging - User Input'!B54</f>
        <v>0</v>
      </c>
      <c r="C60" t="s">
        <v>311</v>
      </c>
      <c r="G60" s="245">
        <f>$B$60*LCI!G81</f>
        <v>0</v>
      </c>
      <c r="H60" s="245">
        <f>$B$60*LCI!H81</f>
        <v>0</v>
      </c>
      <c r="I60" s="245">
        <f>$B$60*LCI!I81</f>
        <v>0</v>
      </c>
      <c r="J60" s="245">
        <f>$B$60*LCI!J81</f>
        <v>0</v>
      </c>
      <c r="K60" s="245">
        <f>$B$60*LCI!K81</f>
        <v>0</v>
      </c>
      <c r="L60" s="245">
        <f>$B$60*LCI!L81</f>
        <v>0</v>
      </c>
      <c r="M60" s="245">
        <f>$B$60*LCI!M81</f>
        <v>0</v>
      </c>
      <c r="N60" s="245">
        <f>$B$60*LCI!N81</f>
        <v>0</v>
      </c>
      <c r="O60" s="245">
        <f>$B$60*LCI!O81</f>
        <v>0</v>
      </c>
      <c r="P60" s="245">
        <f>$B$60*LCI!P81</f>
        <v>0</v>
      </c>
      <c r="Q60" s="245">
        <f>$B$60*LCI!Q81</f>
        <v>0</v>
      </c>
    </row>
    <row r="61" spans="1:17" ht="15">
      <c r="A61" t="s">
        <v>305</v>
      </c>
      <c r="B61">
        <f>'Packaging - User Input'!B55</f>
        <v>0</v>
      </c>
      <c r="C61" t="s">
        <v>311</v>
      </c>
      <c r="G61" s="245">
        <f>$B$61*LCI!G83</f>
        <v>0</v>
      </c>
      <c r="H61" s="245">
        <f>$B$61*LCI!H83</f>
        <v>0</v>
      </c>
      <c r="I61" s="245">
        <f>$B$61*LCI!I83</f>
        <v>0</v>
      </c>
      <c r="J61" s="245">
        <f>$B$61*LCI!J83</f>
        <v>0</v>
      </c>
      <c r="K61" s="245">
        <f>$B$61*LCI!K83</f>
        <v>0</v>
      </c>
      <c r="L61" s="245">
        <f>$B$61*LCI!L83</f>
        <v>0</v>
      </c>
      <c r="M61" s="245">
        <f>$B$61*LCI!M83</f>
        <v>0</v>
      </c>
      <c r="N61" s="245">
        <f>$B$61*LCI!N83</f>
        <v>0</v>
      </c>
      <c r="O61" s="245">
        <f>$B$61*LCI!O83</f>
        <v>0</v>
      </c>
      <c r="P61" s="245">
        <f>$B$61*LCI!P83</f>
        <v>0</v>
      </c>
      <c r="Q61" s="245">
        <f>$B$61*LCI!Q83</f>
        <v>0</v>
      </c>
    </row>
    <row r="62" spans="1:17" ht="15">
      <c r="A62" t="s">
        <v>306</v>
      </c>
      <c r="B62">
        <f>'Packaging - User Input'!B56</f>
        <v>0</v>
      </c>
      <c r="C62" t="s">
        <v>243</v>
      </c>
      <c r="D62">
        <f>B62*0.4536</f>
        <v>0</v>
      </c>
      <c r="G62" s="245">
        <f>$D$62*LCI!G84</f>
        <v>0</v>
      </c>
      <c r="H62" s="245">
        <f>$D$62*LCI!H84</f>
        <v>0</v>
      </c>
      <c r="I62" s="245">
        <f>$D$62*LCI!I84</f>
        <v>0</v>
      </c>
      <c r="J62" s="245">
        <f>$D$62*LCI!J84</f>
        <v>0</v>
      </c>
      <c r="K62" s="245">
        <f>$D$62*LCI!K84</f>
        <v>0</v>
      </c>
      <c r="L62" s="245">
        <f>$D$62*LCI!L84</f>
        <v>0</v>
      </c>
      <c r="M62" s="245">
        <f>$D$62*LCI!M84</f>
        <v>0</v>
      </c>
      <c r="N62" s="245">
        <f>$D$62*LCI!N84</f>
        <v>0</v>
      </c>
      <c r="O62" s="245">
        <f>$D$62*LCI!O84</f>
        <v>0</v>
      </c>
      <c r="P62" s="245">
        <f>$D$62*LCI!P84</f>
        <v>0</v>
      </c>
      <c r="Q62" s="245">
        <f>$D$62*LCI!Q84</f>
        <v>0</v>
      </c>
    </row>
    <row r="63" spans="1:17" s="25" customFormat="1" ht="15">
      <c r="A63" s="25" t="s">
        <v>367</v>
      </c>
      <c r="G63" s="246">
        <f>SUM(G59:G62)</f>
        <v>0</v>
      </c>
      <c r="H63" s="246">
        <f>SUM(H59:H62)</f>
        <v>0</v>
      </c>
      <c r="I63" s="246">
        <f>SUM(I59:I62)</f>
        <v>0</v>
      </c>
      <c r="J63" s="246">
        <f aca="true" t="shared" si="4" ref="J63:Q63">SUM(J59:J62)</f>
        <v>0</v>
      </c>
      <c r="K63" s="246">
        <f t="shared" si="4"/>
        <v>0</v>
      </c>
      <c r="L63" s="246">
        <f t="shared" si="4"/>
        <v>0</v>
      </c>
      <c r="M63" s="246">
        <f t="shared" si="4"/>
        <v>0</v>
      </c>
      <c r="N63" s="246">
        <f t="shared" si="4"/>
        <v>0</v>
      </c>
      <c r="O63" s="246">
        <f t="shared" si="4"/>
        <v>0</v>
      </c>
      <c r="P63" s="246">
        <f t="shared" si="4"/>
        <v>0</v>
      </c>
      <c r="Q63" s="246">
        <f t="shared" si="4"/>
        <v>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AC84"/>
  <sheetViews>
    <sheetView zoomScalePageLayoutView="0" workbookViewId="0" topLeftCell="A1">
      <pane ySplit="1" topLeftCell="A62" activePane="bottomLeft" state="frozen"/>
      <selection pane="topLeft" activeCell="H11" sqref="H11"/>
      <selection pane="bottomLeft" activeCell="D66" sqref="D66"/>
    </sheetView>
  </sheetViews>
  <sheetFormatPr defaultColWidth="8.7109375" defaultRowHeight="15"/>
  <cols>
    <col min="1" max="1" width="14.140625" style="249" customWidth="1"/>
    <col min="2" max="2" width="7.140625" style="249" customWidth="1"/>
    <col min="3" max="3" width="5.7109375" style="250" customWidth="1"/>
    <col min="4" max="4" width="37.7109375" style="250" customWidth="1"/>
    <col min="5" max="5" width="14.7109375" style="250" customWidth="1"/>
    <col min="6" max="6" width="53.28125" style="250" customWidth="1"/>
    <col min="7" max="16" width="14.7109375" style="250" customWidth="1"/>
    <col min="17" max="39" width="9.140625" style="250" customWidth="1"/>
    <col min="40" max="40" width="10.140625" style="250" customWidth="1"/>
    <col min="41" max="41" width="13.421875" style="250" customWidth="1"/>
    <col min="42" max="42" width="17.140625" style="250" customWidth="1"/>
    <col min="43" max="43" width="13.421875" style="250" customWidth="1"/>
    <col min="44" max="47" width="9.140625" style="250" customWidth="1"/>
    <col min="48" max="48" width="8.28125" style="250" customWidth="1"/>
    <col min="49" max="49" width="9.140625" style="250" customWidth="1"/>
    <col min="50" max="50" width="8.7109375" style="250" customWidth="1"/>
    <col min="51" max="53" width="9.140625" style="250" customWidth="1"/>
    <col min="54" max="54" width="11.00390625" style="250" customWidth="1"/>
    <col min="55" max="55" width="8.7109375" style="250" customWidth="1"/>
    <col min="56" max="56" width="16.421875" style="250" customWidth="1"/>
    <col min="57" max="57" width="10.140625" style="250" customWidth="1"/>
    <col min="58" max="59" width="8.7109375" style="250" customWidth="1"/>
    <col min="60" max="60" width="27.28125" style="250" customWidth="1"/>
    <col min="61" max="16384" width="8.7109375" style="250" customWidth="1"/>
  </cols>
  <sheetData>
    <row r="1" spans="5:21" ht="15">
      <c r="E1" s="250" t="s">
        <v>59</v>
      </c>
      <c r="F1" s="250" t="s">
        <v>58</v>
      </c>
      <c r="G1" s="250" t="s">
        <v>318</v>
      </c>
      <c r="H1" s="250" t="s">
        <v>319</v>
      </c>
      <c r="I1" s="250" t="s">
        <v>320</v>
      </c>
      <c r="J1" s="250" t="s">
        <v>321</v>
      </c>
      <c r="K1" s="250" t="s">
        <v>16</v>
      </c>
      <c r="L1" s="250" t="s">
        <v>322</v>
      </c>
      <c r="M1" s="250" t="s">
        <v>323</v>
      </c>
      <c r="N1" s="250" t="s">
        <v>302</v>
      </c>
      <c r="O1" s="250" t="s">
        <v>203</v>
      </c>
      <c r="P1" s="250" t="s">
        <v>204</v>
      </c>
      <c r="Q1" s="250" t="s">
        <v>57</v>
      </c>
      <c r="U1" s="250" t="s">
        <v>62</v>
      </c>
    </row>
    <row r="2" spans="4:29" ht="15">
      <c r="D2" s="250" t="s">
        <v>59</v>
      </c>
      <c r="G2" s="250" t="s">
        <v>60</v>
      </c>
      <c r="H2" s="250" t="s">
        <v>61</v>
      </c>
      <c r="I2" s="250" t="s">
        <v>61</v>
      </c>
      <c r="J2" s="250" t="s">
        <v>60</v>
      </c>
      <c r="K2" s="250" t="s">
        <v>60</v>
      </c>
      <c r="L2" s="250" t="s">
        <v>60</v>
      </c>
      <c r="M2" s="250" t="s">
        <v>60</v>
      </c>
      <c r="N2" s="250" t="s">
        <v>60</v>
      </c>
      <c r="O2" s="250" t="s">
        <v>60</v>
      </c>
      <c r="P2" s="250" t="s">
        <v>60</v>
      </c>
      <c r="Q2" s="250" t="s">
        <v>60</v>
      </c>
      <c r="V2" s="250" t="s">
        <v>60</v>
      </c>
      <c r="W2" s="250">
        <v>28.3495</v>
      </c>
      <c r="X2" s="250" t="s">
        <v>60</v>
      </c>
      <c r="Y2" s="250">
        <v>0.001</v>
      </c>
      <c r="Z2" s="250" t="s">
        <v>60</v>
      </c>
      <c r="AA2" s="250">
        <v>453.59237</v>
      </c>
      <c r="AB2" s="250" t="s">
        <v>61</v>
      </c>
      <c r="AC2" s="250">
        <f>AA2/1000</f>
        <v>0.45359237</v>
      </c>
    </row>
    <row r="3" spans="1:29" ht="15">
      <c r="A3" s="249" t="s">
        <v>187</v>
      </c>
      <c r="C3" s="250">
        <v>1</v>
      </c>
      <c r="D3" s="250" t="s">
        <v>124</v>
      </c>
      <c r="E3" s="250" t="s">
        <v>61</v>
      </c>
      <c r="F3" s="250" t="s">
        <v>280</v>
      </c>
      <c r="G3" s="250">
        <v>0.5242835221359999</v>
      </c>
      <c r="H3" s="250">
        <v>0.280781018846</v>
      </c>
      <c r="I3" s="250">
        <v>0.4261833899</v>
      </c>
      <c r="J3" s="250">
        <v>0.002894739483868885</v>
      </c>
      <c r="K3" s="250">
        <v>0.00014732700011966</v>
      </c>
      <c r="L3" s="250">
        <v>0.58381745029914</v>
      </c>
      <c r="M3" s="250">
        <v>1.3583100837570001</v>
      </c>
      <c r="N3" s="250">
        <v>0.85419180017948</v>
      </c>
      <c r="O3" s="250">
        <v>0.20920380022735002</v>
      </c>
      <c r="P3" s="250">
        <v>0.13453550022735003</v>
      </c>
      <c r="Q3" s="250">
        <v>0.36438100598280004</v>
      </c>
      <c r="V3" s="250" t="s">
        <v>63</v>
      </c>
      <c r="W3" s="250">
        <v>1</v>
      </c>
      <c r="X3" s="250" t="s">
        <v>64</v>
      </c>
      <c r="Y3" s="250">
        <v>1</v>
      </c>
      <c r="Z3" s="250" t="s">
        <v>65</v>
      </c>
      <c r="AA3" s="250">
        <v>1</v>
      </c>
      <c r="AB3" s="250" t="s">
        <v>65</v>
      </c>
      <c r="AC3" s="250">
        <v>1</v>
      </c>
    </row>
    <row r="4" spans="3:17" ht="15">
      <c r="C4" s="250">
        <v>2</v>
      </c>
      <c r="D4" s="250" t="s">
        <v>125</v>
      </c>
      <c r="E4" s="250" t="s">
        <v>61</v>
      </c>
      <c r="F4" s="250" t="s">
        <v>280</v>
      </c>
      <c r="G4" s="250">
        <v>212.371901537279</v>
      </c>
      <c r="H4" s="250">
        <v>0.105447031737</v>
      </c>
      <c r="I4" s="250">
        <v>1.6626333000000002</v>
      </c>
      <c r="J4" s="250">
        <v>0.0450427483778992</v>
      </c>
      <c r="K4" s="250">
        <v>0.00039475500020151</v>
      </c>
      <c r="L4" s="250">
        <v>2.2287580305037706</v>
      </c>
      <c r="M4" s="250">
        <v>1.71786014105</v>
      </c>
      <c r="N4" s="250">
        <v>0.11122830030225998</v>
      </c>
      <c r="O4" s="250">
        <v>0.59426890038287</v>
      </c>
      <c r="P4" s="250">
        <v>0.5469390003828699</v>
      </c>
      <c r="Q4" s="250">
        <v>0.538451010075</v>
      </c>
    </row>
    <row r="5" spans="3:17" ht="15">
      <c r="C5" s="250">
        <v>3</v>
      </c>
      <c r="D5" s="250" t="s">
        <v>184</v>
      </c>
      <c r="E5" s="250" t="s">
        <v>61</v>
      </c>
      <c r="F5" s="250" t="s">
        <v>95</v>
      </c>
      <c r="G5" s="250">
        <v>0.00117466480482111</v>
      </c>
      <c r="H5" s="250">
        <v>0.00014849200410510906</v>
      </c>
      <c r="I5" s="250">
        <v>3.301011251972225E-09</v>
      </c>
      <c r="J5" s="250">
        <v>2.6634063041380094E-06</v>
      </c>
      <c r="K5" s="250">
        <v>1.3139240000006836E-07</v>
      </c>
      <c r="L5" s="250">
        <v>0.0004349764731964873</v>
      </c>
      <c r="M5" s="250">
        <v>0.00034924401824382585</v>
      </c>
      <c r="N5" s="250">
        <v>5.31510003909235E-06</v>
      </c>
      <c r="O5" s="250">
        <v>0.0001199318000494612</v>
      </c>
      <c r="P5" s="250">
        <v>4.726200004949744E-05</v>
      </c>
      <c r="Q5" s="250">
        <v>0.00030818400130304635</v>
      </c>
    </row>
    <row r="6" spans="3:17" ht="15">
      <c r="C6" s="250">
        <v>4</v>
      </c>
      <c r="D6" s="250" t="s">
        <v>242</v>
      </c>
      <c r="E6" s="250" t="s">
        <v>61</v>
      </c>
      <c r="F6" s="250" t="s">
        <v>94</v>
      </c>
      <c r="G6" s="251">
        <f>(G3+G5)/2</f>
        <v>0.2627290934704105</v>
      </c>
      <c r="H6" s="251">
        <f>(H3+H5)/2</f>
        <v>0.14046475542505255</v>
      </c>
      <c r="I6" s="251">
        <f>(I3+I5)/2</f>
        <v>0.21309169660050561</v>
      </c>
      <c r="J6" s="251">
        <f aca="true" t="shared" si="0" ref="J6:Q6">(J3+J5)/2</f>
        <v>0.0014487014450865114</v>
      </c>
      <c r="K6" s="251">
        <f t="shared" si="0"/>
        <v>7.372919625983003E-05</v>
      </c>
      <c r="L6" s="251">
        <f t="shared" si="0"/>
        <v>0.29212621338616823</v>
      </c>
      <c r="M6" s="251">
        <f t="shared" si="0"/>
        <v>0.679329663887622</v>
      </c>
      <c r="N6" s="251">
        <f t="shared" si="0"/>
        <v>0.42709855763975957</v>
      </c>
      <c r="O6" s="251">
        <f t="shared" si="0"/>
        <v>0.10466186601369974</v>
      </c>
      <c r="P6" s="251">
        <f t="shared" si="0"/>
        <v>0.06729138111369977</v>
      </c>
      <c r="Q6" s="251">
        <f t="shared" si="0"/>
        <v>0.18234459499205155</v>
      </c>
    </row>
    <row r="7" spans="3:17" ht="15">
      <c r="C7" s="250">
        <v>5</v>
      </c>
      <c r="D7" s="250" t="s">
        <v>159</v>
      </c>
      <c r="E7" s="250" t="s">
        <v>61</v>
      </c>
      <c r="F7" s="250" t="s">
        <v>160</v>
      </c>
      <c r="G7" s="251">
        <v>0.7305836923243969</v>
      </c>
      <c r="H7" s="251">
        <v>2.14819716018083</v>
      </c>
      <c r="I7" s="251">
        <v>0</v>
      </c>
      <c r="J7" s="251">
        <v>0.179358205698443</v>
      </c>
      <c r="K7" s="251">
        <v>6.75223781284175E-05</v>
      </c>
      <c r="L7" s="251">
        <v>4.29596438046336</v>
      </c>
      <c r="M7" s="251">
        <v>4.231578390071</v>
      </c>
      <c r="N7" s="251">
        <v>0.865848380821349</v>
      </c>
      <c r="O7" s="251">
        <f>(0.00000753855559067444)*1000+P7</f>
        <v>0.06139964250452284</v>
      </c>
      <c r="P7" s="251">
        <v>0.053861086913848395</v>
      </c>
      <c r="Q7" s="251">
        <v>4.58120842403264</v>
      </c>
    </row>
    <row r="8" spans="2:17" ht="15">
      <c r="B8" s="249" t="s">
        <v>38</v>
      </c>
      <c r="C8" s="250">
        <v>6</v>
      </c>
      <c r="D8" s="250" t="s">
        <v>92</v>
      </c>
      <c r="E8" s="250" t="s">
        <v>61</v>
      </c>
      <c r="F8" s="250" t="s">
        <v>280</v>
      </c>
      <c r="G8" s="251">
        <v>1.7470721077800002</v>
      </c>
      <c r="H8" s="251">
        <v>0.967512091755</v>
      </c>
      <c r="I8" s="251">
        <v>0</v>
      </c>
      <c r="J8" s="251">
        <v>0.916772019544</v>
      </c>
      <c r="K8" s="251">
        <v>0.00026373100058259003</v>
      </c>
      <c r="L8" s="251">
        <v>1.6972078014565</v>
      </c>
      <c r="M8" s="251">
        <v>5.5798704077900005</v>
      </c>
      <c r="N8" s="251">
        <v>0.01780990087386</v>
      </c>
      <c r="O8" s="251">
        <f>(0.0001269812)*1000+P8</f>
        <v>0.3712812011069</v>
      </c>
      <c r="P8" s="251">
        <v>0.24430000110689998</v>
      </c>
      <c r="Q8" s="251">
        <v>1.237126029129</v>
      </c>
    </row>
    <row r="9" spans="3:17" ht="15">
      <c r="C9" s="250">
        <v>7</v>
      </c>
      <c r="D9" s="250" t="s">
        <v>93</v>
      </c>
      <c r="E9" s="250" t="s">
        <v>61</v>
      </c>
      <c r="F9" s="250" t="s">
        <v>113</v>
      </c>
      <c r="G9" s="251">
        <v>0.33887102066</v>
      </c>
      <c r="H9" s="251">
        <v>0.207424017589</v>
      </c>
      <c r="I9" s="251">
        <v>0</v>
      </c>
      <c r="J9" s="251">
        <v>0.1453680037464</v>
      </c>
      <c r="K9" s="251">
        <v>0.00010318600011168</v>
      </c>
      <c r="L9" s="251">
        <v>0.40050900027919</v>
      </c>
      <c r="M9" s="251">
        <v>1.181880078171</v>
      </c>
      <c r="N9" s="251">
        <v>1.16198580016751</v>
      </c>
      <c r="O9" s="251">
        <f>(0.0000384946)*1000+P9</f>
        <v>0.11522420021218</v>
      </c>
      <c r="P9" s="251">
        <v>0.07672960021217999</v>
      </c>
      <c r="Q9" s="251">
        <v>0.6422960055837</v>
      </c>
    </row>
    <row r="10" spans="3:17" ht="15">
      <c r="C10" s="250">
        <v>8</v>
      </c>
      <c r="D10" s="250" t="s">
        <v>157</v>
      </c>
      <c r="E10" s="250" t="s">
        <v>61</v>
      </c>
      <c r="F10" s="250" t="s">
        <v>94</v>
      </c>
      <c r="G10" s="251">
        <f>G9*8/24+G8*1/24+G3*10/24+G5*5/24</f>
        <v>0.404447867435171</v>
      </c>
      <c r="H10" s="251">
        <f>H9*8/24+H8*1/24+H3*10/24+H5*5/24</f>
        <v>0.2264773700394802</v>
      </c>
      <c r="I10" s="251">
        <v>0</v>
      </c>
      <c r="J10" s="251">
        <f aca="true" t="shared" si="1" ref="J10:Q10">J9*8/24+J8*1/24+J3*10/24+J5*5/24</f>
        <v>0.08786153172439207</v>
      </c>
      <c r="K10" s="251">
        <f t="shared" si="1"/>
        <v>0.00010679774852802625</v>
      </c>
      <c r="L10" s="251">
        <f t="shared" si="1"/>
        <v>0.44756788287697513</v>
      </c>
      <c r="M10" s="251">
        <f t="shared" si="1"/>
        <v>1.1924899204508008</v>
      </c>
      <c r="N10" s="251">
        <f t="shared" si="1"/>
        <v>0.7439850366462056</v>
      </c>
      <c r="O10" s="251">
        <f t="shared" si="1"/>
        <v>0.14107135266992032</v>
      </c>
      <c r="P10" s="251">
        <f t="shared" si="1"/>
        <v>0.09182200479492032</v>
      </c>
      <c r="Q10" s="251">
        <f t="shared" si="1"/>
        <v>0.41753521056804654</v>
      </c>
    </row>
    <row r="11" spans="2:17" ht="15">
      <c r="B11" s="249" t="s">
        <v>218</v>
      </c>
      <c r="C11" s="250">
        <v>9</v>
      </c>
      <c r="D11" s="250" t="s">
        <v>285</v>
      </c>
      <c r="E11" s="250" t="s">
        <v>61</v>
      </c>
      <c r="F11" s="250" t="s">
        <v>280</v>
      </c>
      <c r="G11" s="251">
        <v>0.7453572557895475</v>
      </c>
      <c r="H11" s="251">
        <v>0.37304403898320676</v>
      </c>
      <c r="I11" s="251">
        <v>0.004220813000002346</v>
      </c>
      <c r="J11" s="251">
        <f>(J9+K9+M9)/1000+(L9+N9)/1000000</f>
        <v>0.0013289137627179584</v>
      </c>
      <c r="K11" s="251">
        <v>0.0002143980002474131</v>
      </c>
      <c r="L11" s="251">
        <v>0.6935858375324373</v>
      </c>
      <c r="M11" s="251">
        <v>2.5065001732513887</v>
      </c>
      <c r="N11" s="251">
        <v>2.5805229003727</v>
      </c>
      <c r="O11" s="251">
        <v>0.24640560047045101</v>
      </c>
      <c r="P11" s="251">
        <v>0.16486400047039113</v>
      </c>
      <c r="Q11" s="251">
        <v>1.1789830123766534</v>
      </c>
    </row>
    <row r="12" spans="7:17" ht="15"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</row>
    <row r="13" spans="4:17" ht="15">
      <c r="D13" s="250" t="s">
        <v>78</v>
      </c>
      <c r="E13" s="250" t="s">
        <v>61</v>
      </c>
      <c r="F13" s="250" t="s">
        <v>111</v>
      </c>
      <c r="G13" s="251">
        <v>3.12389800156767</v>
      </c>
      <c r="H13" s="251">
        <v>5.38027228511356</v>
      </c>
      <c r="I13" s="251">
        <v>0</v>
      </c>
      <c r="J13" s="251">
        <v>0.36067734606589197</v>
      </c>
      <c r="K13" s="251">
        <v>0.000148896519495373</v>
      </c>
      <c r="L13" s="251">
        <v>9.42325056994105</v>
      </c>
      <c r="M13" s="251">
        <v>9.84971267443269</v>
      </c>
      <c r="N13" s="251">
        <v>1.3279915247799199</v>
      </c>
      <c r="O13" s="251">
        <v>0.1644438149064983</v>
      </c>
      <c r="P13" s="251">
        <v>0.143894963698467</v>
      </c>
      <c r="Q13" s="251">
        <v>9.88127183499671</v>
      </c>
    </row>
    <row r="14" spans="1:17" ht="15">
      <c r="A14" s="249" t="s">
        <v>237</v>
      </c>
      <c r="C14" s="250">
        <v>10</v>
      </c>
      <c r="D14" s="250" t="s">
        <v>279</v>
      </c>
      <c r="E14" s="250" t="s">
        <v>61</v>
      </c>
      <c r="F14" s="250" t="s">
        <v>280</v>
      </c>
      <c r="G14" s="250">
        <v>6.16502176609</v>
      </c>
      <c r="H14" s="250">
        <v>2.3450804819399997</v>
      </c>
      <c r="I14" s="250">
        <v>0.025432800000000002</v>
      </c>
      <c r="J14" s="250">
        <v>0.02138488526227691</v>
      </c>
      <c r="K14" s="250">
        <v>0.00115919000306</v>
      </c>
      <c r="L14" s="250">
        <v>6.106604667650001</v>
      </c>
      <c r="M14" s="250">
        <v>3.8823421418999997</v>
      </c>
      <c r="N14" s="250">
        <v>0.0352288045899</v>
      </c>
      <c r="O14" s="250">
        <v>0.6375770058139</v>
      </c>
      <c r="P14" s="250">
        <v>0.3807260058139</v>
      </c>
      <c r="Q14" s="250">
        <v>6.153215153</v>
      </c>
    </row>
    <row r="15" spans="3:17" ht="15">
      <c r="C15" s="250">
        <v>11</v>
      </c>
      <c r="D15" s="250" t="s">
        <v>400</v>
      </c>
      <c r="E15" s="250" t="s">
        <v>61</v>
      </c>
      <c r="F15" s="250" t="s">
        <v>401</v>
      </c>
      <c r="G15" s="251">
        <v>1.60979503095502</v>
      </c>
      <c r="H15" s="251">
        <v>1.00710754356106</v>
      </c>
      <c r="I15" s="251">
        <v>0</v>
      </c>
      <c r="J15" s="251">
        <v>0.692599537451547</v>
      </c>
      <c r="K15" s="251">
        <v>3.65135681786109E-05</v>
      </c>
      <c r="L15" s="251">
        <v>8.310376565598</v>
      </c>
      <c r="M15" s="251">
        <v>5.421585607821229</v>
      </c>
      <c r="N15" s="251">
        <v>0.8880911118748159</v>
      </c>
      <c r="O15" s="251">
        <f>0.0101250365260426+P15</f>
        <v>0.0506645262376402</v>
      </c>
      <c r="P15" s="251">
        <v>0.0405394897115976</v>
      </c>
      <c r="Q15" s="251">
        <v>2.2900590962534504</v>
      </c>
    </row>
    <row r="16" spans="4:17" ht="15">
      <c r="D16" s="250" t="s">
        <v>42</v>
      </c>
      <c r="E16" s="250" t="s">
        <v>61</v>
      </c>
      <c r="F16" s="250" t="s">
        <v>109</v>
      </c>
      <c r="G16" s="250">
        <v>4.216490758472337</v>
      </c>
      <c r="H16" s="250">
        <v>3.9818196457300004</v>
      </c>
      <c r="I16" s="250">
        <v>0.020236576000011223</v>
      </c>
      <c r="J16" s="250">
        <v>0.045627584365227195</v>
      </c>
      <c r="K16" s="250">
        <v>0.0015549800041010423</v>
      </c>
      <c r="L16" s="250">
        <v>17.80389831025987</v>
      </c>
      <c r="M16" s="250">
        <v>6.096422869803379</v>
      </c>
      <c r="N16" s="250">
        <v>0.02772980614982037</v>
      </c>
      <c r="O16" s="250">
        <v>0.9618340077905065</v>
      </c>
      <c r="P16" s="250">
        <v>0.42093300779010917</v>
      </c>
      <c r="Q16" s="250">
        <v>9.083803204995034</v>
      </c>
    </row>
    <row r="17" spans="3:17" ht="15">
      <c r="C17" s="250">
        <v>12</v>
      </c>
      <c r="D17" s="250" t="s">
        <v>150</v>
      </c>
      <c r="E17" s="250" t="s">
        <v>61</v>
      </c>
      <c r="F17" s="250" t="s">
        <v>195</v>
      </c>
      <c r="G17" s="251">
        <v>9.4082792809</v>
      </c>
      <c r="H17" s="251">
        <v>21.0731204905</v>
      </c>
      <c r="I17" s="251">
        <v>0</v>
      </c>
      <c r="J17" s="251">
        <v>0.01850282291</v>
      </c>
      <c r="K17" s="251">
        <v>0.0146342900069237</v>
      </c>
      <c r="L17" s="251">
        <v>32.280908617309</v>
      </c>
      <c r="M17" s="251">
        <v>36.946504846399996</v>
      </c>
      <c r="N17" s="251">
        <v>0.505956010385</v>
      </c>
      <c r="O17" s="251">
        <v>9.300180013155</v>
      </c>
      <c r="P17" s="251">
        <v>7.608090013155</v>
      </c>
      <c r="Q17" s="251">
        <v>102.25472034618</v>
      </c>
    </row>
    <row r="18" spans="3:17" ht="15">
      <c r="C18" s="250">
        <v>13</v>
      </c>
      <c r="D18" s="250" t="s">
        <v>273</v>
      </c>
      <c r="E18" s="250" t="s">
        <v>61</v>
      </c>
      <c r="F18" s="250" t="s">
        <v>195</v>
      </c>
      <c r="G18" s="251">
        <v>2.9256472973900003</v>
      </c>
      <c r="H18" s="251">
        <v>3.75981574913</v>
      </c>
      <c r="I18" s="251">
        <v>0</v>
      </c>
      <c r="J18" s="251">
        <v>0.0044513809889999995</v>
      </c>
      <c r="K18" s="251">
        <v>0.0030955100053914</v>
      </c>
      <c r="L18" s="251">
        <v>6.5399676734779995</v>
      </c>
      <c r="M18" s="251">
        <v>7.1506437738</v>
      </c>
      <c r="N18" s="251">
        <v>0.091235008087</v>
      </c>
      <c r="O18" s="251">
        <v>1.743050010244</v>
      </c>
      <c r="P18" s="251">
        <v>1.278150010244</v>
      </c>
      <c r="Q18" s="251">
        <v>17.600824269569998</v>
      </c>
    </row>
    <row r="19" spans="3:17" ht="15">
      <c r="C19" s="250">
        <v>14</v>
      </c>
      <c r="D19" s="250" t="s">
        <v>274</v>
      </c>
      <c r="E19" s="250" t="s">
        <v>61</v>
      </c>
      <c r="F19" s="250" t="s">
        <v>195</v>
      </c>
      <c r="G19" s="251">
        <v>4.5312840188</v>
      </c>
      <c r="H19" s="251">
        <v>7.40045286739</v>
      </c>
      <c r="I19" s="251">
        <v>0</v>
      </c>
      <c r="J19" s="251">
        <v>0.01078809805</v>
      </c>
      <c r="K19" s="251">
        <v>0.005454870005507401</v>
      </c>
      <c r="L19" s="251">
        <v>16.466323883768002</v>
      </c>
      <c r="M19" s="251">
        <v>13.664503855</v>
      </c>
      <c r="N19" s="251">
        <v>0.1925830082609</v>
      </c>
      <c r="O19" s="251">
        <v>2.990345010464</v>
      </c>
      <c r="P19" s="251">
        <v>2.281364010464</v>
      </c>
      <c r="Q19" s="251">
        <v>31.321100275360003</v>
      </c>
    </row>
    <row r="20" spans="3:17" ht="15">
      <c r="C20" s="250">
        <v>15</v>
      </c>
      <c r="D20" s="250" t="s">
        <v>5</v>
      </c>
      <c r="E20" s="250" t="s">
        <v>61</v>
      </c>
      <c r="F20" s="250" t="s">
        <v>195</v>
      </c>
      <c r="G20" s="251">
        <v>4.5637531867000005</v>
      </c>
      <c r="H20" s="251">
        <v>7.3903717251400005</v>
      </c>
      <c r="I20" s="251">
        <v>0</v>
      </c>
      <c r="J20" s="251">
        <v>0.010319641393000002</v>
      </c>
      <c r="K20" s="251">
        <v>0.005425300005874</v>
      </c>
      <c r="L20" s="251">
        <v>15.341154144685001</v>
      </c>
      <c r="M20" s="251">
        <v>13.7630041116</v>
      </c>
      <c r="N20" s="251">
        <v>0.1816020088109</v>
      </c>
      <c r="O20" s="251">
        <v>3.2086370111600004</v>
      </c>
      <c r="P20" s="251">
        <v>2.48629201116</v>
      </c>
      <c r="Q20" s="251">
        <v>34.40458029369</v>
      </c>
    </row>
    <row r="21" spans="3:17" ht="15">
      <c r="C21" s="250">
        <v>16</v>
      </c>
      <c r="D21" s="250" t="s">
        <v>6</v>
      </c>
      <c r="E21" s="250" t="s">
        <v>61</v>
      </c>
      <c r="F21" s="250" t="s">
        <v>195</v>
      </c>
      <c r="G21" s="251">
        <v>3.00677068169</v>
      </c>
      <c r="H21" s="251">
        <v>1.96984859495</v>
      </c>
      <c r="I21" s="251">
        <v>0</v>
      </c>
      <c r="J21" s="251">
        <v>0.0012210138027999998</v>
      </c>
      <c r="K21" s="251">
        <v>0.0005886730020631999</v>
      </c>
      <c r="L21" s="251">
        <v>14.473218205158002</v>
      </c>
      <c r="M21" s="251">
        <v>3.5479814442</v>
      </c>
      <c r="N21" s="251">
        <v>0.0068715030948000005</v>
      </c>
      <c r="O21" s="251">
        <v>0.5427520039201</v>
      </c>
      <c r="P21" s="251">
        <v>0.2121420039201</v>
      </c>
      <c r="Q21" s="251">
        <v>5.25131210316</v>
      </c>
    </row>
    <row r="22" spans="2:17" ht="15">
      <c r="B22" s="249" t="s">
        <v>41</v>
      </c>
      <c r="D22" s="250" t="s">
        <v>108</v>
      </c>
      <c r="E22" s="250" t="s">
        <v>61</v>
      </c>
      <c r="F22" s="250" t="s">
        <v>109</v>
      </c>
      <c r="G22" s="251">
        <v>0.4236</v>
      </c>
      <c r="H22" s="251">
        <v>1.8119</v>
      </c>
      <c r="I22" s="251">
        <v>0</v>
      </c>
      <c r="J22" s="251">
        <v>0.01087</v>
      </c>
      <c r="K22" s="251">
        <v>0.0005655</v>
      </c>
      <c r="L22" s="251">
        <v>3.03741</v>
      </c>
      <c r="M22" s="251">
        <v>3.3091</v>
      </c>
      <c r="N22" s="251">
        <v>0.05725</v>
      </c>
      <c r="O22" s="251">
        <v>0.5429</v>
      </c>
      <c r="P22" s="251">
        <v>0</v>
      </c>
      <c r="Q22" s="251">
        <v>10.93</v>
      </c>
    </row>
    <row r="23" spans="7:17" ht="15">
      <c r="G23" s="252"/>
      <c r="H23" s="252"/>
      <c r="J23" s="252"/>
      <c r="K23" s="252"/>
      <c r="L23" s="252"/>
      <c r="M23" s="252"/>
      <c r="N23" s="252"/>
      <c r="O23" s="252"/>
      <c r="P23" s="252"/>
      <c r="Q23" s="252"/>
    </row>
    <row r="24" spans="1:17" ht="15">
      <c r="A24" s="249" t="s">
        <v>155</v>
      </c>
      <c r="D24" s="250" t="s">
        <v>17</v>
      </c>
      <c r="E24" s="250" t="s">
        <v>278</v>
      </c>
      <c r="F24" s="250" t="s">
        <v>281</v>
      </c>
      <c r="G24" s="251" t="e">
        <f>#REF!*1000</f>
        <v>#REF!</v>
      </c>
      <c r="H24" s="251" t="e">
        <f>#REF!</f>
        <v>#REF!</v>
      </c>
      <c r="I24" s="251" t="e">
        <f>#REF!</f>
        <v>#REF!</v>
      </c>
      <c r="J24" s="251">
        <v>0</v>
      </c>
      <c r="K24" s="251" t="e">
        <f>#REF!*1000</f>
        <v>#REF!</v>
      </c>
      <c r="L24" s="251" t="e">
        <f>#REF!*1000</f>
        <v>#REF!</v>
      </c>
      <c r="M24" s="251" t="e">
        <f>#REF!*1000</f>
        <v>#REF!</v>
      </c>
      <c r="N24" s="251" t="e">
        <f>#REF!*1000</f>
        <v>#REF!</v>
      </c>
      <c r="O24" s="251" t="e">
        <f>#REF!*1000</f>
        <v>#REF!</v>
      </c>
      <c r="P24" s="251">
        <v>0</v>
      </c>
      <c r="Q24" s="251" t="e">
        <f>#REF!*1000</f>
        <v>#REF!</v>
      </c>
    </row>
    <row r="25" spans="4:17" ht="15">
      <c r="D25" s="250" t="s">
        <v>91</v>
      </c>
      <c r="E25" s="250" t="s">
        <v>61</v>
      </c>
      <c r="F25" s="250" t="s">
        <v>90</v>
      </c>
      <c r="G25" s="251">
        <v>0.60114909946036</v>
      </c>
      <c r="H25" s="251">
        <v>0.411676806706737</v>
      </c>
      <c r="I25" s="251">
        <v>0</v>
      </c>
      <c r="J25" s="251">
        <v>0.11811717405441</v>
      </c>
      <c r="K25" s="251">
        <v>1.86136442752249E-05</v>
      </c>
      <c r="L25" s="251">
        <v>4.2812717553631705</v>
      </c>
      <c r="M25" s="251">
        <v>1.27842819510406</v>
      </c>
      <c r="N25" s="251">
        <v>0.00705140466162114</v>
      </c>
      <c r="O25" s="251">
        <f>(0.0000201631236253334)*1000+P25</f>
        <v>0.0362225857032132</v>
      </c>
      <c r="P25" s="251">
        <f>(0.0000160594620778798)*1000</f>
        <v>0.0160594620778798</v>
      </c>
      <c r="Q25" s="251">
        <v>1.65230048061329</v>
      </c>
    </row>
    <row r="26" spans="4:17" ht="15">
      <c r="D26" s="250" t="s">
        <v>91</v>
      </c>
      <c r="E26" s="250" t="s">
        <v>241</v>
      </c>
      <c r="F26" s="250" t="s">
        <v>94</v>
      </c>
      <c r="G26" s="251">
        <f>G25*3.18</f>
        <v>1.911654136283945</v>
      </c>
      <c r="H26" s="251">
        <f>H25*3.18</f>
        <v>1.3091322453274237</v>
      </c>
      <c r="I26" s="251">
        <v>0</v>
      </c>
      <c r="J26" s="251">
        <f aca="true" t="shared" si="2" ref="J26:Q26">J25*3.18</f>
        <v>0.37561261349302383</v>
      </c>
      <c r="K26" s="251">
        <f t="shared" si="2"/>
        <v>5.919138879521518E-05</v>
      </c>
      <c r="L26" s="251">
        <f t="shared" si="2"/>
        <v>13.614444182054882</v>
      </c>
      <c r="M26" s="251">
        <f t="shared" si="2"/>
        <v>4.0654016604309104</v>
      </c>
      <c r="N26" s="251">
        <f t="shared" si="2"/>
        <v>0.022423466823955227</v>
      </c>
      <c r="O26" s="251">
        <f t="shared" si="2"/>
        <v>0.11518782253621797</v>
      </c>
      <c r="P26" s="251">
        <f t="shared" si="2"/>
        <v>0.05106908940765777</v>
      </c>
      <c r="Q26" s="251">
        <f t="shared" si="2"/>
        <v>5.254315528350262</v>
      </c>
    </row>
    <row r="27" spans="4:17" ht="15">
      <c r="D27" s="250" t="s">
        <v>303</v>
      </c>
      <c r="E27" s="250" t="s">
        <v>304</v>
      </c>
      <c r="F27" s="251" t="s">
        <v>301</v>
      </c>
      <c r="G27" s="251">
        <v>0.0852272727272727</v>
      </c>
      <c r="H27" s="251">
        <f>32.0366278/1000</f>
        <v>0.032036627799999995</v>
      </c>
      <c r="I27" s="251">
        <v>0</v>
      </c>
      <c r="J27" s="251">
        <v>0.00662878787878788</v>
      </c>
      <c r="K27" s="251">
        <v>0</v>
      </c>
      <c r="L27" s="251">
        <v>0.00015694696969697</v>
      </c>
      <c r="M27" s="251">
        <v>0.00946969696969697</v>
      </c>
      <c r="N27" s="251">
        <v>0.000185693181818182</v>
      </c>
      <c r="O27" s="251">
        <f aca="true" t="shared" si="3" ref="O27:O47">P27</f>
        <v>0.000473484848484848</v>
      </c>
      <c r="P27" s="251">
        <v>0.000473484848484848</v>
      </c>
      <c r="Q27" s="251">
        <v>0.000298946835654278</v>
      </c>
    </row>
    <row r="28" spans="4:17" ht="15">
      <c r="D28" s="250" t="s">
        <v>300</v>
      </c>
      <c r="E28" s="250" t="s">
        <v>441</v>
      </c>
      <c r="F28" s="250" t="s">
        <v>94</v>
      </c>
      <c r="G28" s="251">
        <f>G27/0.009975*3.18</f>
        <v>27.170198222829796</v>
      </c>
      <c r="H28" s="251">
        <f>H27/0.009975*3.18</f>
        <v>10.213180591879699</v>
      </c>
      <c r="I28" s="251">
        <v>0</v>
      </c>
      <c r="J28" s="251">
        <f>J27/0.009975*3.18</f>
        <v>2.1132376395534296</v>
      </c>
      <c r="K28" s="251">
        <v>0</v>
      </c>
      <c r="L28" s="251">
        <f>L27/0.009975*3.18</f>
        <v>0.05003422191843255</v>
      </c>
      <c r="M28" s="251">
        <f>M27/0.009975*3.18</f>
        <v>3.018910913647756</v>
      </c>
      <c r="N28" s="251">
        <f>N27/0.009975*3.18</f>
        <v>0.05919842788790164</v>
      </c>
      <c r="O28" s="251">
        <f t="shared" si="3"/>
        <v>0.15094554568238766</v>
      </c>
      <c r="P28" s="251">
        <f>P27/0.009975*3.18</f>
        <v>0.15094554568238766</v>
      </c>
      <c r="Q28" s="251">
        <f>Q27/0.009975*3.18</f>
        <v>0.0953033521183563</v>
      </c>
    </row>
    <row r="29" spans="4:17" ht="15">
      <c r="D29" s="250" t="s">
        <v>110</v>
      </c>
      <c r="E29" s="250">
        <v>0.00736254488314694</v>
      </c>
      <c r="F29" s="250" t="s">
        <v>111</v>
      </c>
      <c r="G29" s="251">
        <v>0.0703421052631579</v>
      </c>
      <c r="H29" s="251">
        <v>0.0236443736232835</v>
      </c>
      <c r="I29" s="251">
        <v>0</v>
      </c>
      <c r="J29" s="251">
        <v>0.00547105263157895</v>
      </c>
      <c r="K29" s="251">
        <v>0</v>
      </c>
      <c r="L29" s="251">
        <v>0.000109036842105263</v>
      </c>
      <c r="M29" s="251">
        <v>0.00781578947368421</v>
      </c>
      <c r="N29" s="251">
        <v>0.000129007894736842</v>
      </c>
      <c r="O29" s="251">
        <f t="shared" si="3"/>
        <v>0.000390789473684211</v>
      </c>
      <c r="P29" s="251">
        <v>0.000390789473684211</v>
      </c>
      <c r="Q29" s="251">
        <v>0.000220635290300853</v>
      </c>
    </row>
    <row r="30" spans="4:17" ht="15">
      <c r="D30" s="250" t="s">
        <v>110</v>
      </c>
      <c r="E30" s="250" t="s">
        <v>441</v>
      </c>
      <c r="F30" s="250" t="s">
        <v>94</v>
      </c>
      <c r="G30" s="251">
        <f>G29/$E29*3.18</f>
        <v>30.381871796648692</v>
      </c>
      <c r="H30" s="251">
        <f>H29/$E29*3.18</f>
        <v>10.21238027277109</v>
      </c>
      <c r="I30" s="251">
        <v>0</v>
      </c>
      <c r="J30" s="251">
        <f>J29/$E29*3.18</f>
        <v>2.363034473072677</v>
      </c>
      <c r="K30" s="251">
        <v>0</v>
      </c>
      <c r="L30" s="251">
        <f>L29/$E29*3.18</f>
        <v>0.04709474283660082</v>
      </c>
      <c r="M30" s="251">
        <f>M29/$E29*3.18</f>
        <v>3.3757635329609648</v>
      </c>
      <c r="N30" s="251">
        <f>N29/$E29*3.18</f>
        <v>0.05572055746678293</v>
      </c>
      <c r="O30" s="251">
        <f t="shared" si="3"/>
        <v>0.16878817664804846</v>
      </c>
      <c r="P30" s="251">
        <f>P29/$E29*3.18</f>
        <v>0.16878817664804846</v>
      </c>
      <c r="Q30" s="251">
        <f>Q29/$E29*3.18</f>
        <v>0.09529588400374167</v>
      </c>
    </row>
    <row r="31" spans="4:17" ht="15">
      <c r="D31" s="250" t="s">
        <v>261</v>
      </c>
      <c r="E31" s="250">
        <v>0.00458975961141158</v>
      </c>
      <c r="F31" s="250" t="s">
        <v>111</v>
      </c>
      <c r="G31" s="250">
        <v>0.0483950892857143</v>
      </c>
      <c r="H31" s="250">
        <v>0.0147397391548242</v>
      </c>
      <c r="I31" s="251">
        <v>0</v>
      </c>
      <c r="J31" s="250">
        <v>0.0037640625</v>
      </c>
      <c r="K31" s="251">
        <v>0</v>
      </c>
      <c r="L31" s="250">
        <v>4.62433035714286E-05</v>
      </c>
      <c r="M31" s="250">
        <v>0.00537723214285714</v>
      </c>
      <c r="N31" s="250">
        <v>5.47131696428571E-05</v>
      </c>
      <c r="O31" s="250">
        <v>0.000268861607142857</v>
      </c>
      <c r="P31" s="250">
        <v>0.000268861607142857</v>
      </c>
      <c r="Q31" s="250">
        <v>0.000137542515576773</v>
      </c>
    </row>
    <row r="32" spans="4:17" ht="15">
      <c r="D32" s="250" t="s">
        <v>261</v>
      </c>
      <c r="E32" s="250" t="s">
        <v>441</v>
      </c>
      <c r="F32" s="250" t="s">
        <v>94</v>
      </c>
      <c r="G32" s="251">
        <f>G31/$E$31*3.18</f>
        <v>33.53038001073888</v>
      </c>
      <c r="H32" s="251">
        <f aca="true" t="shared" si="4" ref="H32:Q32">H31/$E$31*3.18</f>
        <v>10.212380272771055</v>
      </c>
      <c r="I32" s="251">
        <f t="shared" si="4"/>
        <v>0</v>
      </c>
      <c r="J32" s="251">
        <f t="shared" si="4"/>
        <v>2.6079184452796897</v>
      </c>
      <c r="K32" s="251">
        <f t="shared" si="4"/>
        <v>0</v>
      </c>
      <c r="L32" s="251">
        <f t="shared" si="4"/>
        <v>0.032039522285986693</v>
      </c>
      <c r="M32" s="251">
        <f t="shared" si="4"/>
        <v>3.7255977789709838</v>
      </c>
      <c r="N32" s="251">
        <f t="shared" si="4"/>
        <v>0.03790784141106154</v>
      </c>
      <c r="O32" s="251">
        <f t="shared" si="4"/>
        <v>0.18627988894854916</v>
      </c>
      <c r="P32" s="251">
        <f t="shared" si="4"/>
        <v>0.18627988894854916</v>
      </c>
      <c r="Q32" s="251">
        <f t="shared" si="4"/>
        <v>0.09529588400374206</v>
      </c>
    </row>
    <row r="33" spans="4:17" ht="15">
      <c r="D33" s="250" t="s">
        <v>7</v>
      </c>
      <c r="E33" s="250">
        <v>0.00259283389733456</v>
      </c>
      <c r="F33" s="250" t="s">
        <v>111</v>
      </c>
      <c r="G33" s="250">
        <v>0.0265957219251337</v>
      </c>
      <c r="H33" s="250">
        <v>0.008326731365947049</v>
      </c>
      <c r="I33" s="250">
        <v>0</v>
      </c>
      <c r="J33" s="250">
        <v>0.00206855614973262</v>
      </c>
      <c r="K33" s="250">
        <v>0</v>
      </c>
      <c r="L33" s="250">
        <v>2.21572192513369E-05</v>
      </c>
      <c r="M33" s="250">
        <v>0.00295508021390374</v>
      </c>
      <c r="N33" s="250">
        <v>2.62155080213904E-05</v>
      </c>
      <c r="O33" s="250">
        <v>0.000147754010695187</v>
      </c>
      <c r="P33" s="250">
        <v>0.000147754010695187</v>
      </c>
      <c r="Q33" s="250">
        <v>7.77001252582906E-05</v>
      </c>
    </row>
    <row r="34" spans="4:17" ht="15">
      <c r="D34" s="250" t="s">
        <v>7</v>
      </c>
      <c r="E34" s="250" t="s">
        <v>441</v>
      </c>
      <c r="F34" s="250" t="s">
        <v>94</v>
      </c>
      <c r="G34" s="251">
        <f>G33/$E$33*3.18</f>
        <v>32.61851667739606</v>
      </c>
      <c r="H34" s="251">
        <f aca="true" t="shared" si="5" ref="H34:Q34">H33/$E$33*3.18</f>
        <v>10.21238027277108</v>
      </c>
      <c r="I34" s="251">
        <f t="shared" si="5"/>
        <v>0</v>
      </c>
      <c r="J34" s="251">
        <f t="shared" si="5"/>
        <v>2.5369957415752475</v>
      </c>
      <c r="K34" s="251">
        <f t="shared" si="5"/>
        <v>0</v>
      </c>
      <c r="L34" s="251">
        <f t="shared" si="5"/>
        <v>0.027174882776596045</v>
      </c>
      <c r="M34" s="251">
        <f t="shared" si="5"/>
        <v>3.624279630821779</v>
      </c>
      <c r="N34" s="251">
        <f t="shared" si="5"/>
        <v>0.03215220056854441</v>
      </c>
      <c r="O34" s="251">
        <f t="shared" si="5"/>
        <v>0.18121398154108895</v>
      </c>
      <c r="P34" s="251">
        <f t="shared" si="5"/>
        <v>0.18121398154108895</v>
      </c>
      <c r="Q34" s="251">
        <f t="shared" si="5"/>
        <v>0.09529588400374184</v>
      </c>
    </row>
    <row r="35" spans="7:17" ht="15"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</row>
    <row r="36" spans="4:17" ht="15">
      <c r="D36" s="250" t="s">
        <v>174</v>
      </c>
      <c r="E36" s="250">
        <v>0.0055404582461408</v>
      </c>
      <c r="F36" s="250" t="s">
        <v>111</v>
      </c>
      <c r="G36" s="251">
        <v>0.0414486317937624</v>
      </c>
      <c r="H36" s="251">
        <v>0.017792851099056702</v>
      </c>
      <c r="I36" s="251">
        <v>0</v>
      </c>
      <c r="J36" s="251">
        <v>0.00322378247284819</v>
      </c>
      <c r="K36" s="251">
        <v>0</v>
      </c>
      <c r="L36" s="251">
        <v>8.75322431061546E-05</v>
      </c>
      <c r="M36" s="251">
        <v>0.00460540353264027</v>
      </c>
      <c r="N36" s="251">
        <v>0.000103564540082855</v>
      </c>
      <c r="O36" s="251">
        <f t="shared" si="3"/>
        <v>0.000230270176632013</v>
      </c>
      <c r="P36" s="251">
        <v>0.000230270176632013</v>
      </c>
      <c r="Q36" s="251">
        <v>0.000166032347909374</v>
      </c>
    </row>
    <row r="37" spans="4:17" ht="15">
      <c r="D37" s="250" t="s">
        <v>174</v>
      </c>
      <c r="E37" s="250" t="s">
        <v>441</v>
      </c>
      <c r="F37" s="250" t="s">
        <v>94</v>
      </c>
      <c r="G37" s="251">
        <f>G36/$E36*3.18</f>
        <v>23.7898461189513</v>
      </c>
      <c r="H37" s="251">
        <f>H36/$E36*3.18</f>
        <v>10.212380272771107</v>
      </c>
      <c r="I37" s="251">
        <v>0</v>
      </c>
      <c r="J37" s="251">
        <f>J36/$E36*3.18</f>
        <v>1.8503213648073253</v>
      </c>
      <c r="K37" s="251">
        <v>0</v>
      </c>
      <c r="L37" s="251">
        <f>L36/$E36*3.18</f>
        <v>0.05023998389870689</v>
      </c>
      <c r="M37" s="251">
        <f>M36/$E36*3.18</f>
        <v>2.643316235439035</v>
      </c>
      <c r="N37" s="251">
        <f>N36/$E36*3.18</f>
        <v>0.0594418769770311</v>
      </c>
      <c r="O37" s="251">
        <f t="shared" si="3"/>
        <v>0.13216581177195147</v>
      </c>
      <c r="P37" s="251">
        <f>P36/$E36*3.18</f>
        <v>0.13216581177195147</v>
      </c>
      <c r="Q37" s="251">
        <f>Q36/$E36*3.18</f>
        <v>0.09529588400374198</v>
      </c>
    </row>
    <row r="38" spans="4:17" ht="15">
      <c r="D38" s="250" t="s">
        <v>172</v>
      </c>
      <c r="E38" s="250">
        <v>0.00383298437760424</v>
      </c>
      <c r="F38" s="250" t="s">
        <v>111</v>
      </c>
      <c r="G38" s="251">
        <v>0.0309076972529239</v>
      </c>
      <c r="H38" s="251">
        <v>0.012309400642668299</v>
      </c>
      <c r="I38" s="251">
        <v>0</v>
      </c>
      <c r="J38" s="251">
        <v>0.00240393200856075</v>
      </c>
      <c r="K38" s="251">
        <v>0</v>
      </c>
      <c r="L38" s="251">
        <v>5.69168679101177E-05</v>
      </c>
      <c r="M38" s="251">
        <v>0.00343418858365821</v>
      </c>
      <c r="N38" s="251">
        <v>6.73416907746705E-05</v>
      </c>
      <c r="O38" s="251">
        <f t="shared" si="3"/>
        <v>0.00017170942918291</v>
      </c>
      <c r="P38" s="251">
        <v>0.00017170942918291</v>
      </c>
      <c r="Q38" s="251">
        <v>0.00011486403604916</v>
      </c>
    </row>
    <row r="39" spans="4:17" ht="15">
      <c r="D39" s="250" t="s">
        <v>173</v>
      </c>
      <c r="E39" s="250" t="s">
        <v>441</v>
      </c>
      <c r="F39" s="250" t="s">
        <v>94</v>
      </c>
      <c r="G39" s="251">
        <f>G38/$E38*3.18</f>
        <v>25.642284857349395</v>
      </c>
      <c r="H39" s="251">
        <f>H38/$E38*3.18</f>
        <v>10.212380272771057</v>
      </c>
      <c r="I39" s="251">
        <v>0</v>
      </c>
      <c r="J39" s="251">
        <f>J38/$E38*3.18</f>
        <v>1.9943999333493991</v>
      </c>
      <c r="K39" s="251">
        <v>0</v>
      </c>
      <c r="L39" s="251">
        <f>L38/$E38*3.18</f>
        <v>0.047220552479085076</v>
      </c>
      <c r="M39" s="251">
        <f>M38/$E38*3.18</f>
        <v>2.84914276192771</v>
      </c>
      <c r="N39" s="251">
        <f>N38/$E38*3.18</f>
        <v>0.05586941024719279</v>
      </c>
      <c r="O39" s="251">
        <f t="shared" si="3"/>
        <v>0.14245713809638508</v>
      </c>
      <c r="P39" s="251">
        <f>P38/$E38*3.18</f>
        <v>0.14245713809638508</v>
      </c>
      <c r="Q39" s="251">
        <f>Q38/$E38*3.18</f>
        <v>0.09529588400374198</v>
      </c>
    </row>
    <row r="40" spans="4:17" ht="15">
      <c r="D40" s="250" t="s">
        <v>177</v>
      </c>
      <c r="E40" s="250">
        <v>0.00375501285500623</v>
      </c>
      <c r="F40" s="250" t="s">
        <v>111</v>
      </c>
      <c r="G40" s="251">
        <v>0.0338629620527061</v>
      </c>
      <c r="H40" s="251">
        <v>0.0120589997498325</v>
      </c>
      <c r="I40" s="251">
        <v>0</v>
      </c>
      <c r="J40" s="251">
        <v>0.0026337859374327</v>
      </c>
      <c r="K40" s="251">
        <v>0</v>
      </c>
      <c r="L40" s="251">
        <v>5.24907583124514E-05</v>
      </c>
      <c r="M40" s="251">
        <v>0.00376255133918957</v>
      </c>
      <c r="N40" s="251">
        <v>6.21049004380775E-05</v>
      </c>
      <c r="O40" s="251">
        <f t="shared" si="3"/>
        <v>0.000188127566959478</v>
      </c>
      <c r="P40" s="251">
        <v>0.000188127566959478</v>
      </c>
      <c r="Q40" s="251">
        <v>0.000112527443227432</v>
      </c>
    </row>
    <row r="41" spans="4:17" ht="15">
      <c r="D41" s="250" t="s">
        <v>104</v>
      </c>
      <c r="E41" s="250" t="s">
        <v>441</v>
      </c>
      <c r="F41" s="250" t="s">
        <v>94</v>
      </c>
      <c r="G41" s="251">
        <f>G40/$E40*3.18</f>
        <v>28.67745690511804</v>
      </c>
      <c r="H41" s="251">
        <f>H40/$E40*3.18</f>
        <v>10.212380272771057</v>
      </c>
      <c r="I41" s="251">
        <v>0</v>
      </c>
      <c r="J41" s="251">
        <f>J40/$E40*3.18</f>
        <v>2.2304688703980724</v>
      </c>
      <c r="K41" s="251">
        <v>0</v>
      </c>
      <c r="L41" s="251">
        <f>L40/$E40*3.18</f>
        <v>0.04445274034443179</v>
      </c>
      <c r="M41" s="251">
        <f>M40/$E40*3.18</f>
        <v>3.1863841005686737</v>
      </c>
      <c r="N41" s="251">
        <f>N40/$E40*3.18</f>
        <v>0.0525946490781744</v>
      </c>
      <c r="O41" s="251">
        <f t="shared" si="3"/>
        <v>0.15931920502843322</v>
      </c>
      <c r="P41" s="251">
        <f>P40/$E40*3.18</f>
        <v>0.15931920502843322</v>
      </c>
      <c r="Q41" s="251">
        <f>Q40/$E40*3.18</f>
        <v>0.09529588400374199</v>
      </c>
    </row>
    <row r="42" spans="4:17" ht="15">
      <c r="D42" s="250" t="s">
        <v>8</v>
      </c>
      <c r="E42" s="250">
        <v>0.0031548145237233</v>
      </c>
      <c r="F42" s="250" t="s">
        <v>111</v>
      </c>
      <c r="G42" s="250">
        <v>0.0286578947368421</v>
      </c>
      <c r="H42" s="250">
        <v>0.0101314986183407</v>
      </c>
      <c r="I42" s="250">
        <v>0</v>
      </c>
      <c r="J42" s="250">
        <v>0.00222894736842105</v>
      </c>
      <c r="K42" s="250">
        <v>0</v>
      </c>
      <c r="L42" s="250">
        <v>4.19372469635628E-05</v>
      </c>
      <c r="M42" s="250">
        <v>0.00318421052631579</v>
      </c>
      <c r="N42" s="250">
        <v>4.96184210526316E-05</v>
      </c>
      <c r="O42" s="250">
        <v>0.000159210526315789</v>
      </c>
      <c r="P42" s="250">
        <v>0.000159210526315789</v>
      </c>
      <c r="Q42" s="250">
        <v>9.45411443100803E-05</v>
      </c>
    </row>
    <row r="43" spans="4:17" ht="15">
      <c r="D43" s="250" t="s">
        <v>8</v>
      </c>
      <c r="E43" s="250" t="s">
        <v>441</v>
      </c>
      <c r="F43" s="250" t="s">
        <v>94</v>
      </c>
      <c r="G43" s="251">
        <f>G42/$E$42*3.18</f>
        <v>28.886676087570475</v>
      </c>
      <c r="H43" s="251">
        <f aca="true" t="shared" si="6" ref="H43:Q43">H42/$E$42*3.18</f>
        <v>10.212380272771052</v>
      </c>
      <c r="I43" s="251">
        <f t="shared" si="6"/>
        <v>0</v>
      </c>
      <c r="J43" s="251">
        <f t="shared" si="6"/>
        <v>2.246741473477701</v>
      </c>
      <c r="K43" s="251">
        <f t="shared" si="6"/>
        <v>0</v>
      </c>
      <c r="L43" s="251">
        <f t="shared" si="6"/>
        <v>0.04227203987470497</v>
      </c>
      <c r="M43" s="251">
        <f t="shared" si="6"/>
        <v>3.2096306763967197</v>
      </c>
      <c r="N43" s="251">
        <f t="shared" si="6"/>
        <v>0.05001453421773569</v>
      </c>
      <c r="O43" s="251">
        <f t="shared" si="6"/>
        <v>0.16048153381983551</v>
      </c>
      <c r="P43" s="251">
        <f t="shared" si="6"/>
        <v>0.16048153381983551</v>
      </c>
      <c r="Q43" s="251">
        <f t="shared" si="6"/>
        <v>0.09529588400374174</v>
      </c>
    </row>
    <row r="44" spans="4:17" ht="15">
      <c r="D44" s="250" t="s">
        <v>32</v>
      </c>
      <c r="E44" s="250">
        <v>0.00285441089017153</v>
      </c>
      <c r="F44" s="250" t="s">
        <v>111</v>
      </c>
      <c r="G44" s="250">
        <v>0.0280101540414239</v>
      </c>
      <c r="H44" s="250">
        <v>0.009166770272066251</v>
      </c>
      <c r="I44" s="250">
        <v>0</v>
      </c>
      <c r="J44" s="250">
        <v>0.00217856753655519</v>
      </c>
      <c r="K44" s="250">
        <v>0</v>
      </c>
      <c r="L44" s="250">
        <v>3.32009589928011E-05</v>
      </c>
      <c r="M44" s="250">
        <v>0.00311223933793599</v>
      </c>
      <c r="N44" s="250">
        <v>3.92820054231812E-05</v>
      </c>
      <c r="O44" s="250">
        <v>0.000155611966896799</v>
      </c>
      <c r="P44" s="250">
        <v>0.000155611966896799</v>
      </c>
      <c r="Q44" s="250">
        <v>8.55388707826426E-05</v>
      </c>
    </row>
    <row r="45" spans="4:17" ht="15">
      <c r="D45" s="250" t="s">
        <v>33</v>
      </c>
      <c r="E45" s="250" t="s">
        <v>441</v>
      </c>
      <c r="F45" s="250" t="s">
        <v>94</v>
      </c>
      <c r="G45" s="251">
        <f>G44/$E$44*3.18</f>
        <v>31.205139441706443</v>
      </c>
      <c r="H45" s="251">
        <f aca="true" t="shared" si="7" ref="H45:Q45">H44/$E$44*3.18</f>
        <v>10.212380272771084</v>
      </c>
      <c r="I45" s="251">
        <f t="shared" si="7"/>
        <v>0</v>
      </c>
      <c r="J45" s="251">
        <f t="shared" si="7"/>
        <v>2.4270664010216096</v>
      </c>
      <c r="K45" s="251">
        <f t="shared" si="7"/>
        <v>0</v>
      </c>
      <c r="L45" s="251">
        <f t="shared" si="7"/>
        <v>0.0369880348903668</v>
      </c>
      <c r="M45" s="251">
        <f t="shared" si="7"/>
        <v>3.4672377157451617</v>
      </c>
      <c r="N45" s="251">
        <f t="shared" si="7"/>
        <v>0.04376271744051873</v>
      </c>
      <c r="O45" s="251">
        <f t="shared" si="7"/>
        <v>0.17336188578725753</v>
      </c>
      <c r="P45" s="251">
        <f t="shared" si="7"/>
        <v>0.17336188578725753</v>
      </c>
      <c r="Q45" s="251">
        <f t="shared" si="7"/>
        <v>0.09529588400374178</v>
      </c>
    </row>
    <row r="46" spans="4:17" ht="15">
      <c r="D46" s="250" t="s">
        <v>244</v>
      </c>
      <c r="E46" s="250">
        <v>0.00269271058063592</v>
      </c>
      <c r="F46" s="250" t="s">
        <v>152</v>
      </c>
      <c r="G46" s="250">
        <v>0.0277605633802817</v>
      </c>
      <c r="H46" s="250">
        <v>0.008647479375461729</v>
      </c>
      <c r="I46" s="250">
        <v>0</v>
      </c>
      <c r="J46" s="250">
        <v>0.00215915492957746</v>
      </c>
      <c r="K46" s="251">
        <v>0</v>
      </c>
      <c r="L46" s="253">
        <v>2.65262483994878E-05</v>
      </c>
      <c r="M46" s="250">
        <v>0.00308450704225352</v>
      </c>
      <c r="N46" s="253">
        <v>3.13847631241997E-05</v>
      </c>
      <c r="O46" s="251">
        <f t="shared" si="3"/>
        <v>0.000154225352112676</v>
      </c>
      <c r="P46" s="250">
        <v>0.000154225352112676</v>
      </c>
      <c r="Q46" s="253">
        <v>8.0693155706896E-05</v>
      </c>
    </row>
    <row r="47" spans="4:17" ht="15">
      <c r="D47" s="250" t="s">
        <v>244</v>
      </c>
      <c r="E47" s="250" t="s">
        <v>441</v>
      </c>
      <c r="F47" s="250" t="s">
        <v>94</v>
      </c>
      <c r="G47" s="250">
        <f>G46/$E46*3.18</f>
        <v>32.78428516756807</v>
      </c>
      <c r="H47" s="250">
        <f>H46/$E46*3.18</f>
        <v>10.212380272771105</v>
      </c>
      <c r="I47" s="250">
        <v>0</v>
      </c>
      <c r="J47" s="250">
        <f>J46/$E46*3.18</f>
        <v>2.5498888463663993</v>
      </c>
      <c r="K47" s="251">
        <v>0</v>
      </c>
      <c r="L47" s="250">
        <f>L46/$E46*3.18</f>
        <v>0.031326600978576015</v>
      </c>
      <c r="M47" s="250">
        <f>M46/$E46*3.18</f>
        <v>3.6426983519520055</v>
      </c>
      <c r="N47" s="250">
        <f>N46/$E46*3.18</f>
        <v>0.03706434232207202</v>
      </c>
      <c r="O47" s="251">
        <f t="shared" si="3"/>
        <v>0.18213491759760028</v>
      </c>
      <c r="P47" s="250">
        <f>P46/$E46*3.18</f>
        <v>0.18213491759760028</v>
      </c>
      <c r="Q47" s="250">
        <f>Q46/$E46*3.18</f>
        <v>0.09529588400374195</v>
      </c>
    </row>
    <row r="48" spans="4:17" ht="15">
      <c r="D48" s="250" t="s">
        <v>34</v>
      </c>
      <c r="E48" s="250" t="s">
        <v>441</v>
      </c>
      <c r="F48" s="250" t="s">
        <v>35</v>
      </c>
      <c r="G48" s="250">
        <v>63.37890570244901</v>
      </c>
      <c r="H48" s="250">
        <v>12.415958514587372</v>
      </c>
      <c r="I48" s="250">
        <v>0.008459195529520538</v>
      </c>
      <c r="J48" s="250">
        <v>0.0013887477249081963</v>
      </c>
      <c r="K48" s="250">
        <v>5.3574532151487656E-05</v>
      </c>
      <c r="L48" s="250">
        <v>15.796294083796123</v>
      </c>
      <c r="M48" s="250">
        <v>89.43543909459214</v>
      </c>
      <c r="N48" s="250">
        <v>0.4104682234788355</v>
      </c>
      <c r="O48" s="250">
        <v>1.7651725769802276</v>
      </c>
      <c r="P48" s="250">
        <v>0</v>
      </c>
      <c r="Q48" s="250">
        <v>17.742843653528563</v>
      </c>
    </row>
    <row r="49" spans="4:17" ht="15">
      <c r="D49" s="250" t="s">
        <v>235</v>
      </c>
      <c r="E49" s="250" t="s">
        <v>441</v>
      </c>
      <c r="F49" s="250" t="s">
        <v>35</v>
      </c>
      <c r="G49" s="250">
        <v>65.52499501208936</v>
      </c>
      <c r="H49" s="250">
        <v>12.431056586310074</v>
      </c>
      <c r="I49" s="250">
        <v>0.008527725235607478</v>
      </c>
      <c r="J49" s="250">
        <v>0.001399998259676508</v>
      </c>
      <c r="K49" s="250">
        <v>5.4002460800702834E-05</v>
      </c>
      <c r="L49" s="250">
        <v>15.84609897778815</v>
      </c>
      <c r="M49" s="250">
        <v>84.45579438887235</v>
      </c>
      <c r="N49" s="250">
        <v>0.28620393477029</v>
      </c>
      <c r="O49" s="250">
        <v>1.5179983556673615</v>
      </c>
      <c r="P49" s="250">
        <v>0</v>
      </c>
      <c r="Q49" s="250">
        <v>17.87476349981405</v>
      </c>
    </row>
    <row r="50" spans="4:15" ht="15">
      <c r="D50" s="250" t="s">
        <v>200</v>
      </c>
      <c r="K50" s="251"/>
      <c r="O50" s="251"/>
    </row>
    <row r="51" spans="4:17" ht="15">
      <c r="D51" s="250" t="s">
        <v>18</v>
      </c>
      <c r="E51" s="250" t="s">
        <v>61</v>
      </c>
      <c r="F51" s="250" t="s">
        <v>182</v>
      </c>
      <c r="G51" s="251">
        <v>0.7299212991140139</v>
      </c>
      <c r="H51" s="251">
        <v>0.64726709769426</v>
      </c>
      <c r="I51" s="250">
        <v>0</v>
      </c>
      <c r="J51" s="251">
        <v>0.140627760258567</v>
      </c>
      <c r="K51" s="251">
        <v>2.48078678176693E-05</v>
      </c>
      <c r="L51" s="251">
        <v>4.35821879866876</v>
      </c>
      <c r="M51" s="251">
        <v>1.45998401829276</v>
      </c>
      <c r="N51" s="251">
        <v>0.009009270426349109</v>
      </c>
      <c r="O51" s="251">
        <v>0.059463927949973905</v>
      </c>
      <c r="P51" s="251">
        <v>0.017023300435130503</v>
      </c>
      <c r="Q51" s="251">
        <v>2.09333229650589</v>
      </c>
    </row>
    <row r="52" spans="4:17" ht="15">
      <c r="D52" s="250" t="s">
        <v>183</v>
      </c>
      <c r="E52" s="250" t="s">
        <v>241</v>
      </c>
      <c r="F52" s="250" t="s">
        <v>299</v>
      </c>
      <c r="G52" s="251">
        <f>G51/(1/0.76*0.264172052)</f>
        <v>2.0999200450116144</v>
      </c>
      <c r="H52" s="251">
        <f>H51/(1/0.76*0.264172052)</f>
        <v>1.8621311017701359</v>
      </c>
      <c r="I52" s="250">
        <v>0</v>
      </c>
      <c r="J52" s="251">
        <f aca="true" t="shared" si="8" ref="J52:Q52">J51/(1/0.76*0.264172052)</f>
        <v>0.40457382598712943</v>
      </c>
      <c r="K52" s="251">
        <f t="shared" si="8"/>
        <v>7.137007642817821E-05</v>
      </c>
      <c r="L52" s="251">
        <f t="shared" si="8"/>
        <v>12.538216143274148</v>
      </c>
      <c r="M52" s="251">
        <f t="shared" si="8"/>
        <v>4.2002469432402245</v>
      </c>
      <c r="N52" s="251">
        <f t="shared" si="8"/>
        <v>0.025918886847369163</v>
      </c>
      <c r="O52" s="251">
        <f t="shared" si="8"/>
        <v>0.17107254495634597</v>
      </c>
      <c r="P52" s="251">
        <f t="shared" si="8"/>
        <v>0.04897455363938038</v>
      </c>
      <c r="Q52" s="251">
        <f t="shared" si="8"/>
        <v>6.0223348128608105</v>
      </c>
    </row>
    <row r="53" spans="4:17" ht="15">
      <c r="D53" s="250" t="s">
        <v>356</v>
      </c>
      <c r="E53" s="250" t="s">
        <v>241</v>
      </c>
      <c r="F53" s="250" t="s">
        <v>357</v>
      </c>
      <c r="G53" s="250">
        <v>196.61634351859846</v>
      </c>
      <c r="H53" s="250">
        <v>9.768098620779309</v>
      </c>
      <c r="I53" s="250">
        <v>0.007561726703180357</v>
      </c>
      <c r="J53" s="250">
        <v>0.0012414100984865777</v>
      </c>
      <c r="K53" s="250">
        <v>4.789060247709655E-05</v>
      </c>
      <c r="L53" s="250">
        <v>15.73039548996643</v>
      </c>
      <c r="M53" s="250">
        <v>59.508415342769766</v>
      </c>
      <c r="N53" s="250">
        <v>0.36985660189561986</v>
      </c>
      <c r="O53" s="250">
        <v>0.45875853394255933</v>
      </c>
      <c r="P53" s="250">
        <v>0</v>
      </c>
      <c r="Q53" s="250">
        <v>15.726248876769308</v>
      </c>
    </row>
    <row r="54" spans="4:17" ht="15">
      <c r="D54" s="250" t="s">
        <v>112</v>
      </c>
      <c r="E54" s="250" t="s">
        <v>241</v>
      </c>
      <c r="F54" s="250" t="s">
        <v>357</v>
      </c>
      <c r="G54" s="250">
        <v>213.1818716207462</v>
      </c>
      <c r="H54" s="250">
        <v>9.770449646813265</v>
      </c>
      <c r="I54" s="250">
        <v>0.007561726703180409</v>
      </c>
      <c r="J54" s="250">
        <v>0.001241410098486581</v>
      </c>
      <c r="K54" s="250">
        <v>4.789060247709666E-05</v>
      </c>
      <c r="L54" s="250">
        <v>15.11854694237472</v>
      </c>
      <c r="M54" s="250">
        <v>56.284935099830456</v>
      </c>
      <c r="N54" s="250">
        <v>0.25780775956912344</v>
      </c>
      <c r="O54" s="250">
        <v>0.41858687614757983</v>
      </c>
      <c r="P54" s="250">
        <v>0</v>
      </c>
      <c r="Q54" s="250">
        <v>15.726306837988556</v>
      </c>
    </row>
    <row r="55" spans="4:17" ht="15">
      <c r="D55" s="254" t="s">
        <v>512</v>
      </c>
      <c r="E55" s="250" t="s">
        <v>513</v>
      </c>
      <c r="F55" s="250" t="s">
        <v>357</v>
      </c>
      <c r="G55" s="254">
        <v>0.7583936491143082</v>
      </c>
      <c r="H55" s="254">
        <v>0.1438784446316822</v>
      </c>
      <c r="I55" s="254">
        <v>9.870084933059969E-05</v>
      </c>
      <c r="J55" s="254">
        <v>1.6203737042846853E-05</v>
      </c>
      <c r="K55" s="254">
        <v>6.250305444546953E-07</v>
      </c>
      <c r="L55" s="254">
        <v>0.18340452869586668</v>
      </c>
      <c r="M55" s="254">
        <v>0.9775008465640821</v>
      </c>
      <c r="N55" s="254">
        <v>0.0033125564746897982</v>
      </c>
      <c r="O55" s="254">
        <v>0.01756948340235182</v>
      </c>
      <c r="P55" s="254">
        <v>0</v>
      </c>
      <c r="Q55" s="254">
        <v>0.2068845196428953</v>
      </c>
    </row>
    <row r="56" ht="19.5">
      <c r="F56" s="255"/>
    </row>
    <row r="57" spans="1:17" ht="15">
      <c r="A57" s="249" t="s">
        <v>156</v>
      </c>
      <c r="D57" s="250" t="s">
        <v>175</v>
      </c>
      <c r="E57" s="250" t="s">
        <v>241</v>
      </c>
      <c r="F57" s="250" t="s">
        <v>275</v>
      </c>
      <c r="G57" s="250">
        <f>(0.13535*1000)*3.78541178</f>
        <v>512.355484423</v>
      </c>
      <c r="H57" s="250">
        <v>7.8925835612999995</v>
      </c>
      <c r="I57" s="250">
        <v>0</v>
      </c>
      <c r="J57" s="250">
        <f>(0.0028351*1000)*3.78541178</f>
        <v>10.732020937478001</v>
      </c>
      <c r="K57" s="251">
        <v>0</v>
      </c>
      <c r="L57" s="250">
        <f>(0.00092063*1000)*3.78541178</f>
        <v>3.4849636470213996</v>
      </c>
      <c r="M57" s="250">
        <f>(0.033472*1000)*3.78541178</f>
        <v>126.70530310016001</v>
      </c>
      <c r="N57" s="250">
        <f>(0.000060969*1000)*3.78541178</f>
        <v>0.23079277081481997</v>
      </c>
      <c r="O57" s="250">
        <f>(0.00026521*1000)*3.78541178</f>
        <v>1.0039290581738</v>
      </c>
      <c r="P57" s="250">
        <v>0</v>
      </c>
      <c r="Q57" s="250">
        <f>(0.00050092*1000)*3.78541178</f>
        <v>1.8961884688375996</v>
      </c>
    </row>
    <row r="58" spans="4:17" ht="15">
      <c r="D58" s="250" t="s">
        <v>126</v>
      </c>
      <c r="E58" s="250" t="s">
        <v>186</v>
      </c>
      <c r="F58" s="250" t="s">
        <v>280</v>
      </c>
      <c r="G58" s="250">
        <v>0.07981721440391666</v>
      </c>
      <c r="H58" s="250">
        <v>0.19759472266069447</v>
      </c>
      <c r="I58" s="250">
        <v>0.0033056894444444453</v>
      </c>
      <c r="J58" s="250">
        <v>0.004063296983505556</v>
      </c>
      <c r="K58" s="250">
        <v>2.445330555833945E-05</v>
      </c>
      <c r="L58" s="250">
        <v>0.3725557494514042</v>
      </c>
      <c r="M58" s="250">
        <v>0.39603611305980563</v>
      </c>
      <c r="N58" s="250">
        <v>0.0050819166708425</v>
      </c>
      <c r="O58" s="250">
        <v>0.021790416671956112</v>
      </c>
      <c r="P58" s="250">
        <v>0.014858055560845001</v>
      </c>
      <c r="Q58" s="250">
        <v>1.0898055556947501</v>
      </c>
    </row>
    <row r="59" spans="4:17" ht="15">
      <c r="D59" s="250" t="s">
        <v>126</v>
      </c>
      <c r="E59" s="250" t="s">
        <v>122</v>
      </c>
      <c r="F59" s="250" t="s">
        <v>94</v>
      </c>
      <c r="G59" s="250">
        <f>G58*3.6</f>
        <v>0.2873419718541</v>
      </c>
      <c r="H59" s="250">
        <f aca="true" t="shared" si="9" ref="H59:Q59">H58*3.6</f>
        <v>0.7113410015785001</v>
      </c>
      <c r="I59" s="250">
        <f t="shared" si="9"/>
        <v>0.011900482000000004</v>
      </c>
      <c r="J59" s="250">
        <f t="shared" si="9"/>
        <v>0.014627869140620002</v>
      </c>
      <c r="K59" s="250">
        <f t="shared" si="9"/>
        <v>8.803190001002202E-05</v>
      </c>
      <c r="L59" s="250">
        <f t="shared" si="9"/>
        <v>1.341200698025055</v>
      </c>
      <c r="M59" s="250">
        <f t="shared" si="9"/>
        <v>1.4257300070153003</v>
      </c>
      <c r="N59" s="250">
        <f t="shared" si="9"/>
        <v>0.018294900015033002</v>
      </c>
      <c r="O59" s="250">
        <f t="shared" si="9"/>
        <v>0.078445500019042</v>
      </c>
      <c r="P59" s="250">
        <f t="shared" si="9"/>
        <v>0.053489000019042006</v>
      </c>
      <c r="Q59" s="250">
        <f t="shared" si="9"/>
        <v>3.9233000005011007</v>
      </c>
    </row>
    <row r="60" spans="4:17" ht="15">
      <c r="D60" s="250" t="s">
        <v>2</v>
      </c>
      <c r="E60" s="250" t="s">
        <v>265</v>
      </c>
      <c r="F60" s="250" t="s">
        <v>111</v>
      </c>
      <c r="G60" s="250">
        <v>0.250394626100214</v>
      </c>
      <c r="H60" s="250">
        <v>0.148285702785825</v>
      </c>
      <c r="I60" s="250">
        <v>0.000661041718566297</v>
      </c>
      <c r="J60" s="250">
        <v>0.000108523343564371</v>
      </c>
      <c r="K60" s="250">
        <v>3.62955937052279E-06</v>
      </c>
      <c r="L60" s="250">
        <v>11.1010771023797</v>
      </c>
      <c r="M60" s="250">
        <v>0.230639676346329</v>
      </c>
      <c r="N60" s="250">
        <v>0.00019633488056548202</v>
      </c>
      <c r="O60" s="250">
        <v>0.00911927141872017</v>
      </c>
      <c r="Q60" s="250">
        <v>19.147716069282403</v>
      </c>
    </row>
    <row r="61" spans="4:17" ht="15">
      <c r="D61" s="250" t="s">
        <v>88</v>
      </c>
      <c r="E61" s="250" t="s">
        <v>265</v>
      </c>
      <c r="F61" s="250" t="s">
        <v>291</v>
      </c>
      <c r="G61" s="250">
        <v>1.3457000000000001</v>
      </c>
      <c r="H61" s="250">
        <v>1.96</v>
      </c>
      <c r="J61" s="250">
        <v>0.08840500000000001</v>
      </c>
      <c r="K61" s="250">
        <v>8.0092E-06</v>
      </c>
      <c r="L61" s="250">
        <v>0.036017</v>
      </c>
      <c r="M61" s="250">
        <v>1.637117</v>
      </c>
      <c r="O61" s="250">
        <v>0.12115000000000001</v>
      </c>
      <c r="Q61" s="250">
        <v>0.010126</v>
      </c>
    </row>
    <row r="62" spans="4:17" ht="15">
      <c r="D62" s="250" t="s">
        <v>276</v>
      </c>
      <c r="E62" s="250" t="s">
        <v>61</v>
      </c>
      <c r="F62" s="250" t="s">
        <v>182</v>
      </c>
      <c r="G62" s="251">
        <v>0.636200152680995</v>
      </c>
      <c r="H62" s="251">
        <v>0.432859444851027</v>
      </c>
      <c r="I62" s="251">
        <v>0</v>
      </c>
      <c r="J62" s="251">
        <v>0.125245950704229</v>
      </c>
      <c r="K62" s="251">
        <v>1.93726749767197E-05</v>
      </c>
      <c r="L62" s="251">
        <v>4.5254376186566505</v>
      </c>
      <c r="M62" s="251">
        <v>1.3430497159155201</v>
      </c>
      <c r="N62" s="251">
        <v>0.00741938735129402</v>
      </c>
      <c r="O62" s="251">
        <v>0.0217371820213434</v>
      </c>
      <c r="P62" s="251">
        <v>0.0166761555210973</v>
      </c>
      <c r="Q62" s="251">
        <v>1.72073467203467</v>
      </c>
    </row>
    <row r="63" spans="4:17" ht="13.5" customHeight="1">
      <c r="D63" s="250" t="s">
        <v>277</v>
      </c>
      <c r="E63" s="250" t="s">
        <v>241</v>
      </c>
      <c r="F63" s="250" t="s">
        <v>256</v>
      </c>
      <c r="G63" s="251">
        <f>G62/(1/0.5077*0.264172052)</f>
        <v>1.2226835317013063</v>
      </c>
      <c r="H63" s="251">
        <f>H62/(1/0.5077*0.264172052)</f>
        <v>0.831892467379049</v>
      </c>
      <c r="I63" s="251">
        <v>0</v>
      </c>
      <c r="J63" s="251">
        <f aca="true" t="shared" si="10" ref="J63:Q63">J62/(1/0.5077*0.264172052)</f>
        <v>0.2407043769056125</v>
      </c>
      <c r="K63" s="251">
        <f t="shared" si="10"/>
        <v>3.723144447422694E-05</v>
      </c>
      <c r="L63" s="251">
        <f t="shared" si="10"/>
        <v>8.697228422149598</v>
      </c>
      <c r="M63" s="251">
        <f t="shared" si="10"/>
        <v>2.581144884964249</v>
      </c>
      <c r="N63" s="251">
        <f t="shared" si="10"/>
        <v>0.014258976033740217</v>
      </c>
      <c r="O63" s="251">
        <f t="shared" si="10"/>
        <v>0.04177568076821406</v>
      </c>
      <c r="P63" s="251">
        <f t="shared" si="10"/>
        <v>0.03204912894442406</v>
      </c>
      <c r="Q63" s="251">
        <f t="shared" si="10"/>
        <v>3.3070000644579993</v>
      </c>
    </row>
    <row r="64" spans="4:17" ht="15">
      <c r="D64" s="250" t="s">
        <v>358</v>
      </c>
      <c r="E64" s="250" t="s">
        <v>241</v>
      </c>
      <c r="F64" s="250" t="s">
        <v>275</v>
      </c>
      <c r="G64" s="251">
        <v>1.6784137291342003</v>
      </c>
      <c r="H64" s="251">
        <v>6.526049908719999</v>
      </c>
      <c r="I64" s="251">
        <v>0</v>
      </c>
      <c r="J64" s="251">
        <v>0.17240279410832002</v>
      </c>
      <c r="K64" s="251">
        <f>0.28*0.45359237</f>
        <v>0.12700586360000002</v>
      </c>
      <c r="L64" s="251">
        <v>0.09851534157450001</v>
      </c>
      <c r="M64" s="251">
        <v>9.85153415745</v>
      </c>
      <c r="N64" s="251">
        <v>0.44330957355580003</v>
      </c>
      <c r="O64" s="251">
        <v>0.29581857437166004</v>
      </c>
      <c r="P64" s="251">
        <v>0</v>
      </c>
      <c r="Q64" s="251">
        <v>0</v>
      </c>
    </row>
    <row r="65" spans="7:18" ht="15">
      <c r="G65" s="252"/>
      <c r="H65" s="252"/>
      <c r="J65" s="252"/>
      <c r="K65" s="252"/>
      <c r="L65" s="252"/>
      <c r="M65" s="252"/>
      <c r="N65" s="252"/>
      <c r="O65" s="252"/>
      <c r="P65" s="252"/>
      <c r="Q65" s="252"/>
      <c r="R65" s="253"/>
    </row>
    <row r="67" ht="15">
      <c r="A67" s="249" t="s">
        <v>429</v>
      </c>
    </row>
    <row r="68" spans="2:17" ht="15">
      <c r="B68" s="249" t="s">
        <v>351</v>
      </c>
      <c r="D68" s="256" t="s">
        <v>352</v>
      </c>
      <c r="E68" s="256" t="s">
        <v>61</v>
      </c>
      <c r="F68" s="256" t="s">
        <v>111</v>
      </c>
      <c r="G68" s="256">
        <v>1.5108877539024</v>
      </c>
      <c r="H68" s="256">
        <v>2.85517116690268</v>
      </c>
      <c r="I68" s="256">
        <v>0</v>
      </c>
      <c r="J68" s="256">
        <v>0.007649084299120611</v>
      </c>
      <c r="K68" s="256">
        <v>0.000129125829081345</v>
      </c>
      <c r="L68" s="256">
        <v>7.5865275823177205</v>
      </c>
      <c r="M68" s="256">
        <v>5.00218234593219</v>
      </c>
      <c r="N68" s="256">
        <v>0.040179351573780206</v>
      </c>
      <c r="O68" s="256">
        <v>0.14500565493709322</v>
      </c>
      <c r="P68" s="256">
        <v>0.10228118527176501</v>
      </c>
      <c r="Q68" s="256">
        <v>8.73953563996866</v>
      </c>
    </row>
    <row r="69" spans="2:17" ht="15">
      <c r="B69" s="249" t="s">
        <v>353</v>
      </c>
      <c r="D69" s="256" t="s">
        <v>230</v>
      </c>
      <c r="E69" s="256" t="s">
        <v>61</v>
      </c>
      <c r="F69" s="256" t="s">
        <v>280</v>
      </c>
      <c r="G69" s="256">
        <v>2.38445934505</v>
      </c>
      <c r="H69" s="256">
        <v>1.06405812349</v>
      </c>
      <c r="I69" s="256">
        <v>0.68741416</v>
      </c>
      <c r="J69" s="256">
        <v>0.00173103</v>
      </c>
      <c r="K69" s="256">
        <v>0.00046770500078406</v>
      </c>
      <c r="L69" s="256">
        <v>2.4330289019600997</v>
      </c>
      <c r="M69" s="256">
        <v>2.98789054882</v>
      </c>
      <c r="N69" s="256">
        <v>0.09534460117610001</v>
      </c>
      <c r="O69" s="256">
        <v>0.46328900148970004</v>
      </c>
      <c r="P69" s="256">
        <v>0.32699800148970004</v>
      </c>
      <c r="Q69" s="256">
        <v>1.699210039202</v>
      </c>
    </row>
    <row r="70" spans="2:17" ht="15">
      <c r="B70" s="249" t="s">
        <v>231</v>
      </c>
      <c r="D70" s="256" t="s">
        <v>232</v>
      </c>
      <c r="E70" s="256" t="s">
        <v>61</v>
      </c>
      <c r="F70" s="256" t="s">
        <v>233</v>
      </c>
      <c r="G70" s="256">
        <v>10.784936</v>
      </c>
      <c r="H70" s="256">
        <v>4.109234284</v>
      </c>
      <c r="I70" s="256">
        <v>0</v>
      </c>
      <c r="J70" s="256">
        <v>8.625475</v>
      </c>
      <c r="K70" s="256">
        <v>4.49504E-07</v>
      </c>
      <c r="L70" s="256">
        <v>22.930356999999997</v>
      </c>
      <c r="M70" s="256">
        <v>9.757293</v>
      </c>
      <c r="N70" s="256">
        <v>4.61975E-08</v>
      </c>
      <c r="O70" s="256">
        <v>2.6586600000823215</v>
      </c>
      <c r="P70" s="256">
        <v>8.23212E-11</v>
      </c>
      <c r="Q70" s="256">
        <v>15.766410000000002</v>
      </c>
    </row>
    <row r="71" spans="2:17" ht="15">
      <c r="B71" s="249" t="s">
        <v>234</v>
      </c>
      <c r="D71" s="256" t="s">
        <v>373</v>
      </c>
      <c r="E71" s="256" t="s">
        <v>61</v>
      </c>
      <c r="F71" s="256" t="s">
        <v>111</v>
      </c>
      <c r="G71" s="256">
        <v>1.19099059483702</v>
      </c>
      <c r="H71" s="256">
        <v>2.05580875361695</v>
      </c>
      <c r="I71" s="256">
        <v>0</v>
      </c>
      <c r="J71" s="256">
        <v>0.00720966396468644</v>
      </c>
      <c r="K71" s="256">
        <v>7.70263646261165E-05</v>
      </c>
      <c r="L71" s="256">
        <v>6.52789361394915</v>
      </c>
      <c r="M71" s="256">
        <v>3.5773081238572</v>
      </c>
      <c r="N71" s="256">
        <v>0.0282134788940856</v>
      </c>
      <c r="O71" s="256">
        <v>0.1026690485726946</v>
      </c>
      <c r="P71" s="256">
        <v>0.06688365610171759</v>
      </c>
      <c r="Q71" s="256">
        <v>5.110372481411311</v>
      </c>
    </row>
    <row r="72" spans="2:17" ht="15">
      <c r="B72" s="249" t="s">
        <v>315</v>
      </c>
      <c r="D72" s="256" t="s">
        <v>205</v>
      </c>
      <c r="E72" s="256" t="s">
        <v>61</v>
      </c>
      <c r="F72" s="256" t="s">
        <v>233</v>
      </c>
      <c r="G72" s="256">
        <v>6.417362000000001</v>
      </c>
      <c r="H72" s="256">
        <v>2.717928744</v>
      </c>
      <c r="I72" s="256">
        <v>0</v>
      </c>
      <c r="J72" s="256">
        <v>4.808216830000001</v>
      </c>
      <c r="K72" s="256">
        <v>9.1238E-06</v>
      </c>
      <c r="L72" s="256">
        <v>21.066338000000002</v>
      </c>
      <c r="M72" s="256">
        <v>6.788505000000001</v>
      </c>
      <c r="N72" s="256">
        <v>1.49879E-07</v>
      </c>
      <c r="O72" s="256">
        <v>1.672793</v>
      </c>
      <c r="P72" s="256">
        <v>7.36349E-12</v>
      </c>
      <c r="Q72" s="256">
        <v>11.761353</v>
      </c>
    </row>
    <row r="73" spans="2:17" ht="15">
      <c r="B73" s="249" t="s">
        <v>374</v>
      </c>
      <c r="D73" s="256" t="s">
        <v>419</v>
      </c>
      <c r="E73" s="256" t="s">
        <v>61</v>
      </c>
      <c r="F73" s="256" t="s">
        <v>233</v>
      </c>
      <c r="G73" s="256">
        <v>16.050152</v>
      </c>
      <c r="H73" s="256">
        <v>2.597303163</v>
      </c>
      <c r="I73" s="256">
        <v>0</v>
      </c>
      <c r="J73" s="256">
        <v>4.7543359999999995</v>
      </c>
      <c r="K73" s="256">
        <v>1.89304E-06</v>
      </c>
      <c r="L73" s="256">
        <v>18.955426</v>
      </c>
      <c r="M73" s="256">
        <v>6.231536999999999</v>
      </c>
      <c r="N73" s="256">
        <v>9.153739999999999E-09</v>
      </c>
      <c r="O73" s="256">
        <v>1.6214220000037076</v>
      </c>
      <c r="P73" s="256">
        <v>3.70766E-12</v>
      </c>
      <c r="Q73" s="256">
        <v>10.807773999999998</v>
      </c>
    </row>
    <row r="74" spans="2:17" ht="15">
      <c r="B74" s="249" t="s">
        <v>115</v>
      </c>
      <c r="D74" s="256" t="s">
        <v>420</v>
      </c>
      <c r="E74" s="256" t="s">
        <v>61</v>
      </c>
      <c r="F74" s="256" t="s">
        <v>280</v>
      </c>
      <c r="G74" s="256">
        <v>0.845220784123</v>
      </c>
      <c r="H74" s="256">
        <v>0.845287071618</v>
      </c>
      <c r="I74" s="256">
        <v>0.051542205</v>
      </c>
      <c r="J74" s="256">
        <v>0.00116945</v>
      </c>
      <c r="K74" s="256">
        <v>0.00108309500045473</v>
      </c>
      <c r="L74" s="256">
        <v>1.5317317011368001</v>
      </c>
      <c r="M74" s="256">
        <v>3.2479103183</v>
      </c>
      <c r="N74" s="256">
        <v>0.040582500682080004</v>
      </c>
      <c r="O74" s="256">
        <v>0.46985200086397</v>
      </c>
      <c r="P74" s="256">
        <v>0.36604300086397</v>
      </c>
      <c r="Q74" s="256">
        <v>4.931455022736</v>
      </c>
    </row>
    <row r="75" spans="2:17" ht="15">
      <c r="B75" s="249" t="s">
        <v>118</v>
      </c>
      <c r="D75" s="256" t="s">
        <v>421</v>
      </c>
      <c r="E75" s="256" t="s">
        <v>61</v>
      </c>
      <c r="F75" s="256" t="s">
        <v>280</v>
      </c>
      <c r="G75" s="256">
        <v>5.991799017639</v>
      </c>
      <c r="H75" s="256">
        <v>1.693340015017</v>
      </c>
      <c r="I75" s="256">
        <v>0.13817194700000002</v>
      </c>
      <c r="J75" s="256">
        <v>0.00789118</v>
      </c>
      <c r="K75" s="256">
        <v>0.0019247460000953501</v>
      </c>
      <c r="L75" s="256">
        <v>3.31275270023837</v>
      </c>
      <c r="M75" s="256">
        <v>2.976190066741</v>
      </c>
      <c r="N75" s="256">
        <v>0.03929200014302</v>
      </c>
      <c r="O75" s="256">
        <v>1.50531300018116</v>
      </c>
      <c r="P75" s="256">
        <v>0.65152100018116</v>
      </c>
      <c r="Q75" s="256">
        <v>4.0962100047673</v>
      </c>
    </row>
    <row r="78" spans="2:17" ht="15">
      <c r="B78" s="249" t="s">
        <v>197</v>
      </c>
      <c r="C78" s="250" t="s">
        <v>61</v>
      </c>
      <c r="E78" s="250" t="s">
        <v>280</v>
      </c>
      <c r="F78" s="250" t="s">
        <v>206</v>
      </c>
      <c r="G78" s="250">
        <v>2.21361151740076</v>
      </c>
      <c r="H78" s="250">
        <v>2.412735080085786</v>
      </c>
      <c r="I78" s="250">
        <v>0.012235558048</v>
      </c>
      <c r="J78" s="250">
        <v>0.2110307834069693</v>
      </c>
      <c r="K78" s="250">
        <v>0.0005017818900005446</v>
      </c>
      <c r="L78" s="250">
        <v>8.602601396501363</v>
      </c>
      <c r="M78" s="250">
        <v>10.01745410038126</v>
      </c>
      <c r="N78" s="250">
        <v>0.00071863390081701</v>
      </c>
      <c r="O78" s="250">
        <v>1.293812728001035</v>
      </c>
      <c r="P78" s="250">
        <v>0.4757942300010349</v>
      </c>
      <c r="Q78" s="250">
        <v>8.204291400027234</v>
      </c>
    </row>
    <row r="79" spans="2:17" ht="15">
      <c r="B79" s="249" t="s">
        <v>211</v>
      </c>
      <c r="C79" s="250" t="s">
        <v>311</v>
      </c>
      <c r="E79" s="250" t="s">
        <v>94</v>
      </c>
      <c r="F79" s="250" t="s">
        <v>196</v>
      </c>
      <c r="G79" s="250">
        <f>G78*0.075</f>
        <v>0.16602086380505698</v>
      </c>
      <c r="H79" s="250">
        <f aca="true" t="shared" si="11" ref="H79:Q79">H78*0.075</f>
        <v>0.18095513100643396</v>
      </c>
      <c r="I79" s="250">
        <f t="shared" si="11"/>
        <v>0.0009176668536</v>
      </c>
      <c r="J79" s="250">
        <f t="shared" si="11"/>
        <v>0.015827308755522695</v>
      </c>
      <c r="K79" s="250">
        <f t="shared" si="11"/>
        <v>3.763364175004084E-05</v>
      </c>
      <c r="L79" s="250">
        <f t="shared" si="11"/>
        <v>0.6451951047376022</v>
      </c>
      <c r="M79" s="250">
        <f t="shared" si="11"/>
        <v>0.7513090575285944</v>
      </c>
      <c r="N79" s="250">
        <f t="shared" si="11"/>
        <v>5.389754256127574E-05</v>
      </c>
      <c r="O79" s="250">
        <f t="shared" si="11"/>
        <v>0.09703595460007762</v>
      </c>
      <c r="P79" s="250">
        <f t="shared" si="11"/>
        <v>0.03568456725007761</v>
      </c>
      <c r="Q79" s="250">
        <f t="shared" si="11"/>
        <v>0.6153218550020425</v>
      </c>
    </row>
    <row r="80" spans="2:17" ht="15">
      <c r="B80" s="249" t="s">
        <v>354</v>
      </c>
      <c r="C80" s="250" t="s">
        <v>61</v>
      </c>
      <c r="E80" s="250" t="s">
        <v>280</v>
      </c>
      <c r="F80" s="250" t="s">
        <v>206</v>
      </c>
      <c r="G80" s="250">
        <v>5.7793027434</v>
      </c>
      <c r="H80" s="250">
        <v>2.44440054776</v>
      </c>
      <c r="I80" s="250">
        <v>0.035797385</v>
      </c>
      <c r="J80" s="250">
        <v>0.04196569096526771</v>
      </c>
      <c r="K80" s="250">
        <v>0.0015907200034779</v>
      </c>
      <c r="L80" s="250">
        <v>7.5959548086947</v>
      </c>
      <c r="M80" s="250">
        <v>4.8006724345</v>
      </c>
      <c r="N80" s="250">
        <v>0.1186090052168</v>
      </c>
      <c r="O80" s="250">
        <v>1.177130006608</v>
      </c>
      <c r="P80" s="250">
        <v>0.837181006608</v>
      </c>
      <c r="Q80" s="250">
        <v>6.895544173889999</v>
      </c>
    </row>
    <row r="81" spans="2:17" ht="15">
      <c r="B81" s="249" t="s">
        <v>213</v>
      </c>
      <c r="C81" s="250" t="s">
        <v>311</v>
      </c>
      <c r="E81" s="250" t="s">
        <v>94</v>
      </c>
      <c r="F81" s="250" t="s">
        <v>355</v>
      </c>
      <c r="G81" s="250">
        <f>G80*0.04</f>
        <v>0.231172109736</v>
      </c>
      <c r="H81" s="250">
        <f aca="true" t="shared" si="12" ref="H81:Q81">H80*0.04</f>
        <v>0.0977760219104</v>
      </c>
      <c r="I81" s="250">
        <f t="shared" si="12"/>
        <v>0.0014318954</v>
      </c>
      <c r="J81" s="250">
        <f t="shared" si="12"/>
        <v>0.0016786276386107086</v>
      </c>
      <c r="K81" s="250">
        <f t="shared" si="12"/>
        <v>6.3628800139116E-05</v>
      </c>
      <c r="L81" s="250">
        <f t="shared" si="12"/>
        <v>0.303838192347788</v>
      </c>
      <c r="M81" s="250">
        <f t="shared" si="12"/>
        <v>0.19202689738</v>
      </c>
      <c r="N81" s="250">
        <f t="shared" si="12"/>
        <v>0.004744360208672</v>
      </c>
      <c r="O81" s="250">
        <f t="shared" si="12"/>
        <v>0.04708520026432</v>
      </c>
      <c r="P81" s="250">
        <f t="shared" si="12"/>
        <v>0.03348724026432</v>
      </c>
      <c r="Q81" s="250">
        <f t="shared" si="12"/>
        <v>0.27582176695559996</v>
      </c>
    </row>
    <row r="82" spans="2:17" ht="15">
      <c r="B82" s="249" t="s">
        <v>363</v>
      </c>
      <c r="C82" s="250" t="s">
        <v>61</v>
      </c>
      <c r="E82" s="250" t="s">
        <v>111</v>
      </c>
      <c r="F82" s="250" t="s">
        <v>364</v>
      </c>
      <c r="G82" s="250">
        <v>1.66695968106295</v>
      </c>
      <c r="H82" s="250">
        <v>2.77112025609129</v>
      </c>
      <c r="I82" s="250">
        <v>0</v>
      </c>
      <c r="J82" s="250">
        <v>0.0034996363631057</v>
      </c>
      <c r="K82" s="250">
        <v>9.48203522549419E-05</v>
      </c>
      <c r="L82" s="250">
        <v>5.53457516812776</v>
      </c>
      <c r="M82" s="250">
        <v>5.17471615746668</v>
      </c>
      <c r="N82" s="250">
        <v>0.036589359059181</v>
      </c>
      <c r="O82" s="250">
        <v>0.1471768021764008</v>
      </c>
      <c r="P82" s="250">
        <v>0.117027287437241</v>
      </c>
      <c r="Q82" s="250">
        <v>7.17123023281588</v>
      </c>
    </row>
    <row r="83" spans="2:17" ht="15">
      <c r="B83" s="249" t="s">
        <v>305</v>
      </c>
      <c r="C83" s="250" t="s">
        <v>311</v>
      </c>
      <c r="E83" s="250" t="s">
        <v>94</v>
      </c>
      <c r="F83" s="250" t="s">
        <v>365</v>
      </c>
      <c r="G83" s="253">
        <f>G82*0.008</f>
        <v>0.0133356774485036</v>
      </c>
      <c r="H83" s="253">
        <f aca="true" t="shared" si="13" ref="H83:Q83">H82*0.008</f>
        <v>0.022168962048730322</v>
      </c>
      <c r="I83" s="253">
        <f t="shared" si="13"/>
        <v>0</v>
      </c>
      <c r="J83" s="253">
        <f t="shared" si="13"/>
        <v>2.79970909048456E-05</v>
      </c>
      <c r="K83" s="253">
        <f t="shared" si="13"/>
        <v>7.585628180395352E-07</v>
      </c>
      <c r="L83" s="253">
        <f t="shared" si="13"/>
        <v>0.04427660134502208</v>
      </c>
      <c r="M83" s="253">
        <f t="shared" si="13"/>
        <v>0.04139772925973344</v>
      </c>
      <c r="N83" s="253">
        <f t="shared" si="13"/>
        <v>0.000292714872473448</v>
      </c>
      <c r="O83" s="253">
        <f t="shared" si="13"/>
        <v>0.0011774144174112064</v>
      </c>
      <c r="P83" s="253">
        <f t="shared" si="13"/>
        <v>0.000936218299497928</v>
      </c>
      <c r="Q83" s="253">
        <f t="shared" si="13"/>
        <v>0.05736984186252704</v>
      </c>
    </row>
    <row r="84" spans="2:17" ht="15">
      <c r="B84" s="249" t="s">
        <v>366</v>
      </c>
      <c r="C84" s="250" t="s">
        <v>61</v>
      </c>
      <c r="E84" s="250" t="s">
        <v>280</v>
      </c>
      <c r="G84" s="250">
        <v>2.2635218373299995</v>
      </c>
      <c r="H84" s="250">
        <v>1.3871901169199998</v>
      </c>
      <c r="I84" s="250">
        <v>0.827897346</v>
      </c>
      <c r="J84" s="250">
        <v>0.0355425401282958</v>
      </c>
      <c r="K84" s="250">
        <v>0.00069273100074236</v>
      </c>
      <c r="L84" s="250">
        <v>3.0520921018558997</v>
      </c>
      <c r="M84" s="250">
        <v>4.3502005196299995</v>
      </c>
      <c r="N84" s="250">
        <v>0.0747970011135</v>
      </c>
      <c r="O84" s="250">
        <v>0.8592050014104999</v>
      </c>
      <c r="P84" s="250">
        <v>0.5976170014104999</v>
      </c>
      <c r="Q84" s="250">
        <v>4.4242530371169995</v>
      </c>
    </row>
  </sheetData>
  <sheetProtection password="C442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J68"/>
  <sheetViews>
    <sheetView zoomScalePageLayoutView="0" workbookViewId="0" topLeftCell="B33">
      <selection activeCell="H11" sqref="H11"/>
    </sheetView>
  </sheetViews>
  <sheetFormatPr defaultColWidth="11.421875" defaultRowHeight="15"/>
  <cols>
    <col min="1" max="1" width="47.28125" style="0" bestFit="1" customWidth="1"/>
    <col min="2" max="2" width="17.7109375" style="0" customWidth="1"/>
    <col min="3" max="5" width="11.421875" style="0" customWidth="1"/>
    <col min="6" max="6" width="15.7109375" style="0" customWidth="1"/>
  </cols>
  <sheetData>
    <row r="1" ht="15">
      <c r="A1" t="s">
        <v>251</v>
      </c>
    </row>
    <row r="4" ht="18.75">
      <c r="A4" s="35" t="s">
        <v>216</v>
      </c>
    </row>
    <row r="5" spans="1:7" ht="18.75">
      <c r="A5" s="24" t="s">
        <v>228</v>
      </c>
      <c r="B5" t="s">
        <v>252</v>
      </c>
      <c r="C5" t="s">
        <v>253</v>
      </c>
      <c r="E5" t="s">
        <v>289</v>
      </c>
      <c r="G5" t="s">
        <v>67</v>
      </c>
    </row>
    <row r="6" spans="1:10" ht="15">
      <c r="A6" s="32" t="s">
        <v>31</v>
      </c>
      <c r="B6">
        <f>IF(ISNUMBER(SEARCH("diesel",'Honey Production - User Input'!$B$39)),'Honey Production - User Input'!$C$39/'Honey Production - User Input'!$D$39,0)*E6</f>
        <v>0</v>
      </c>
      <c r="C6" s="34">
        <f>IF(ISNUMBER(SEARCH("diesel",'Honey Production - User Input'!$B$39)),0,'Honey Production - User Input'!$C$39/'Honey Production - User Input'!$D$39)*E6</f>
        <v>0</v>
      </c>
      <c r="E6">
        <f>IF(ISNUMBER(SEARCH("Pollination",'Honey Production - User Input'!A$38)),1,0)</f>
        <v>0</v>
      </c>
      <c r="J6" t="s">
        <v>81</v>
      </c>
    </row>
    <row r="7" spans="1:10" ht="15">
      <c r="A7" s="32" t="s">
        <v>248</v>
      </c>
      <c r="B7" s="34">
        <f>IF(ISNUMBER(SEARCH("diesel",'Honey Production - User Input'!$B$40)),'Honey Production - User Input'!$C$40/'Honey Production - User Input'!$D$40,0)*E7</f>
        <v>0</v>
      </c>
      <c r="C7">
        <f>IF(ISNUMBER(SEARCH("diesel",'Honey Production - User Input'!$B$40)),0,'Honey Production - User Input'!$C$40/'Honey Production - User Input'!$D$40)*E7</f>
        <v>0</v>
      </c>
      <c r="E7">
        <f>IF(ISNUMBER(SEARCH("Pollination",'Honey Production - User Input'!A$38)),1,0)</f>
        <v>0</v>
      </c>
      <c r="G7" s="26" t="s">
        <v>439</v>
      </c>
      <c r="J7">
        <f>IF(ISNUMBER(SEARCH("Total miles and MPG, goto Transport A",'Honey Production - User Input'!B35)),1,0)</f>
        <v>0</v>
      </c>
    </row>
    <row r="8" spans="1:10" ht="15">
      <c r="A8" s="32" t="s">
        <v>31</v>
      </c>
      <c r="B8">
        <f>IF(ISNUMBER(SEARCH("diesel",'Honey Production - User Input'!$B$43)),'Honey Production - User Input'!$C$43/'Honey Production - User Input'!$D$43,0)*E8</f>
        <v>0</v>
      </c>
      <c r="C8" t="e">
        <f>IF(ISNUMBER(SEARCH("diesel",'Honey Production - User Input'!$B$43)),0,'Honey Production - User Input'!$C$43/'Honey Production - User Input'!$D$43)*E8</f>
        <v>#DIV/0!</v>
      </c>
      <c r="E8">
        <f>IF(ISNUMBER(SEARCH("Pollination",'Honey Production - User Input'!A$42)),1,0)</f>
        <v>0</v>
      </c>
      <c r="G8" s="26" t="s">
        <v>257</v>
      </c>
      <c r="J8">
        <f>IF(ISNUMBER(SEARCH("Total gallons fuel per truck type, goto Transport B",'Honey Production - User Input'!B35)),1,0)</f>
        <v>0</v>
      </c>
    </row>
    <row r="9" spans="1:10" ht="15">
      <c r="A9" s="32" t="s">
        <v>248</v>
      </c>
      <c r="B9">
        <f>IF(ISNUMBER(SEARCH("diesel",'Honey Production - User Input'!$B$44)),'Honey Production - User Input'!$C$44/'Honey Production - User Input'!$D$44,0)*E8</f>
        <v>0</v>
      </c>
      <c r="C9" t="e">
        <f>IF(ISNUMBER(SEARCH("diesel",'Honey Production - User Input'!$B$44)),0,'Honey Production - User Input'!$C$44/'Honey Production - User Input'!$D$44)*E9</f>
        <v>#DIV/0!</v>
      </c>
      <c r="E9">
        <f>IF(ISNUMBER(SEARCH("Pollination",'Honey Production - User Input'!A$42)),1,0)</f>
        <v>0</v>
      </c>
      <c r="G9" s="26" t="s">
        <v>423</v>
      </c>
      <c r="J9">
        <f>IF(ISNUMBER(SEARCH("Total gallons fuel, goto Transport C",'Honey Production - User Input'!B35)),1,0)</f>
        <v>0</v>
      </c>
    </row>
    <row r="10" spans="1:5" ht="15">
      <c r="A10" s="32" t="s">
        <v>31</v>
      </c>
      <c r="B10">
        <f>IF(ISNUMBER(SEARCH("diesel",'Honey Production - User Input'!$B$47)),'Honey Production - User Input'!$C$47/'Honey Production - User Input'!$D$47,0)*E10</f>
        <v>0</v>
      </c>
      <c r="C10" t="e">
        <f>IF(ISNUMBER(SEARCH("diesel",'Honey Production - User Input'!$B$47)),0,'Honey Production - User Input'!$C$47/'Honey Production - User Input'!$D$47)*E10</f>
        <v>#DIV/0!</v>
      </c>
      <c r="E10">
        <f>IF(ISNUMBER(SEARCH("Pollination",'Honey Production - User Input'!A$46)),1,0)</f>
        <v>0</v>
      </c>
    </row>
    <row r="11" spans="1:7" ht="15">
      <c r="A11" s="32" t="s">
        <v>248</v>
      </c>
      <c r="B11" t="e">
        <f>IF(ISNUMBER(SEARCH("diesel",'Honey Production - User Input'!$B$48)),'Honey Production - User Input'!$C$48/'Honey Production - User Input'!$D$48,0)*E11</f>
        <v>#DIV/0!</v>
      </c>
      <c r="C11">
        <f>IF(ISNUMBER(SEARCH("diesel",'Honey Production - User Input'!$B$48)),0,'Honey Production - User Input'!$C$48/'Honey Production - User Input'!$D$48)*E11</f>
        <v>0</v>
      </c>
      <c r="E11">
        <f>IF(ISNUMBER(SEARCH("Pollination",'Honey Production - User Input'!A$46)),1,0)</f>
        <v>0</v>
      </c>
      <c r="G11" s="26" t="s">
        <v>207</v>
      </c>
    </row>
    <row r="13" spans="1:5" ht="18.75">
      <c r="A13" s="24" t="s">
        <v>229</v>
      </c>
      <c r="B13" t="s">
        <v>252</v>
      </c>
      <c r="C13" t="s">
        <v>253</v>
      </c>
      <c r="E13" t="s">
        <v>289</v>
      </c>
    </row>
    <row r="14" spans="1:5" ht="15">
      <c r="A14" s="32" t="s">
        <v>31</v>
      </c>
      <c r="B14">
        <f>IF(ISNUMBER(SEARCH("diesel",'Honey Production - User Input'!$B$39)),'Honey Production - User Input'!$C$39/'Honey Production - User Input'!$D$39,0)*E14</f>
        <v>0</v>
      </c>
      <c r="C14">
        <f>IF(ISNUMBER(SEARCH("diesel",'Honey Production - User Input'!$B$39)),0,'Honey Production - User Input'!$C$39/'Honey Production - User Input'!$D$39)*E14</f>
        <v>0</v>
      </c>
      <c r="E14">
        <f>IF(ISNUMBER(SEARCH("Honey production",'Honey Production - User Input'!A$38)),1,0)</f>
        <v>0</v>
      </c>
    </row>
    <row r="15" spans="1:7" ht="15">
      <c r="A15" s="32" t="s">
        <v>248</v>
      </c>
      <c r="B15">
        <f>IF(ISNUMBER(SEARCH("diesel",'Honey Production - User Input'!$B$40)),'Honey Production - User Input'!$C$40/'Honey Production - User Input'!$D$40,0)*E15</f>
        <v>0</v>
      </c>
      <c r="C15">
        <f>IF(ISNUMBER(SEARCH("diesel",'Honey Production - User Input'!$B$40)),0,'Honey Production - User Input'!$C$40/'Honey Production - User Input'!$D$40)*E15</f>
        <v>0</v>
      </c>
      <c r="E15">
        <f>IF(ISNUMBER(SEARCH("Honey production",'Honey Production - User Input'!A$38)),1,0)</f>
        <v>0</v>
      </c>
      <c r="G15">
        <f>LCI!H3+LCI!I3+(LCI!D1*(LCI!L3/1000*'General info'!C32))+(LCI!E2*LCI!N3/1000*'General info'!C33)</f>
        <v>0.706964408746</v>
      </c>
    </row>
    <row r="16" spans="1:5" ht="15">
      <c r="A16" s="32" t="s">
        <v>31</v>
      </c>
      <c r="B16">
        <f>IF(ISNUMBER(SEARCH("diesel",'Honey Production - User Input'!$B$43)),'Honey Production - User Input'!$C$43/'Honey Production - User Input'!$D$43,0)*E16</f>
        <v>0</v>
      </c>
      <c r="C16" t="e">
        <f>IF(ISNUMBER(SEARCH("diesel",'Honey Production - User Input'!$B$43)),0,'Honey Production - User Input'!$C$43/'Honey Production - User Input'!$D$43)*E16</f>
        <v>#DIV/0!</v>
      </c>
      <c r="E16">
        <f>IF(ISNUMBER(SEARCH("Honey production",'Honey Production - User Input'!A$42)),1,0)</f>
        <v>0</v>
      </c>
    </row>
    <row r="17" spans="1:5" ht="15">
      <c r="A17" s="32" t="s">
        <v>248</v>
      </c>
      <c r="B17">
        <f>IF(ISNUMBER(SEARCH("diesel",'Honey Production - User Input'!$B$44)),'Honey Production - User Input'!$C$44/'Honey Production - User Input'!$D$44,0)*E17</f>
        <v>0</v>
      </c>
      <c r="C17" t="e">
        <f>IF(ISNUMBER(SEARCH("diesel",'Honey Production - User Input'!$B$44)),0,'Honey Production - User Input'!$C$44/'Honey Production - User Input'!$D$44)*E17</f>
        <v>#DIV/0!</v>
      </c>
      <c r="E17">
        <f>IF(ISNUMBER(SEARCH("Honey production",'Honey Production - User Input'!A$42)),1,0)</f>
        <v>0</v>
      </c>
    </row>
    <row r="18" spans="1:5" ht="15">
      <c r="A18" s="32" t="s">
        <v>31</v>
      </c>
      <c r="B18">
        <f>IF(ISNUMBER(SEARCH("diesel",'Honey Production - User Input'!$B$47)),'Honey Production - User Input'!$C$47/'Honey Production - User Input'!$D$47,0)*E18</f>
        <v>0</v>
      </c>
      <c r="C18" t="e">
        <f>IF(ISNUMBER(SEARCH("diesel",'Honey Production - User Input'!$B$47)),0,'Honey Production - User Input'!$C$47/'Honey Production - User Input'!$D$47)*E18</f>
        <v>#DIV/0!</v>
      </c>
      <c r="E18">
        <f>IF(ISNUMBER(SEARCH("Honey production",'Honey Production - User Input'!A$46)),1,0)</f>
        <v>0</v>
      </c>
    </row>
    <row r="19" spans="1:5" ht="15">
      <c r="A19" s="32" t="s">
        <v>248</v>
      </c>
      <c r="B19" t="e">
        <f>IF(ISNUMBER(SEARCH("diesel",'Honey Production - User Input'!$B$48)),'Honey Production - User Input'!$C$48/'Honey Production - User Input'!$D$48,0)*E19</f>
        <v>#DIV/0!</v>
      </c>
      <c r="C19">
        <f>IF(ISNUMBER(SEARCH("diesel",'Honey Production - User Input'!$B$48)),0,'Honey Production - User Input'!$C$48/'Honey Production - User Input'!$D$48)*E19</f>
        <v>0</v>
      </c>
      <c r="E19">
        <f>IF(ISNUMBER(SEARCH("Honey production",'Honey Production - User Input'!A$46)),1,0)</f>
        <v>0</v>
      </c>
    </row>
    <row r="21" ht="18.75">
      <c r="A21" s="33" t="s">
        <v>268</v>
      </c>
    </row>
    <row r="22" spans="1:5" ht="15">
      <c r="A22" s="32" t="s">
        <v>31</v>
      </c>
      <c r="B22">
        <f>IF(ISNUMBER(SEARCH("diesel",'Honey Production - User Input'!$B$39)),'Honey Production - User Input'!$C$39/'Honey Production - User Input'!$D$39,0)*E22</f>
        <v>0</v>
      </c>
      <c r="C22">
        <f>IF(ISNUMBER(SEARCH("diesel",'Honey Production - User Input'!$B$39)),0,'Honey Production - User Input'!$C$39/'Honey Production - User Input'!$D$39)*E22</f>
        <v>0</v>
      </c>
      <c r="E22">
        <f>IF(ISNUMBER(SEARCH("Bee supplies and other activities",'Honey Production - User Input'!A$38)),1,0)</f>
        <v>0</v>
      </c>
    </row>
    <row r="23" spans="1:5" ht="15">
      <c r="A23" s="32" t="s">
        <v>248</v>
      </c>
      <c r="B23">
        <f>IF(ISNUMBER(SEARCH("diesel",'Honey Production - User Input'!$B$40)),'Honey Production - User Input'!$C$40/'Honey Production - User Input'!$D$40,0)*E23</f>
        <v>0</v>
      </c>
      <c r="C23">
        <f>IF(ISNUMBER(SEARCH("diesel",'Honey Production - User Input'!$B$40)),0,'Honey Production - User Input'!$C$40/'Honey Production - User Input'!$D$40)*E23</f>
        <v>0</v>
      </c>
      <c r="E23">
        <f>IF(ISNUMBER(SEARCH("Bee supplies and other activities",'Honey Production - User Input'!A$38)),1,0)</f>
        <v>0</v>
      </c>
    </row>
    <row r="24" spans="1:5" ht="15">
      <c r="A24" s="32" t="s">
        <v>31</v>
      </c>
      <c r="B24">
        <f>IF(ISNUMBER(SEARCH("diesel",'Honey Production - User Input'!$B$43)),'Honey Production - User Input'!$C$43/'Honey Production - User Input'!$D$43,0)*E24</f>
        <v>0</v>
      </c>
      <c r="C24" t="e">
        <f>IF(ISNUMBER(SEARCH("diesel",'Honey Production - User Input'!$B$43)),0,'Honey Production - User Input'!$C$43/'Honey Production - User Input'!$D$43)*E24</f>
        <v>#DIV/0!</v>
      </c>
      <c r="E24">
        <f>IF(ISNUMBER(SEARCH("Bee supplies and other activities",'Honey Production - User Input'!A$42)),1,0)</f>
        <v>0</v>
      </c>
    </row>
    <row r="25" spans="1:5" ht="15">
      <c r="A25" s="32" t="s">
        <v>248</v>
      </c>
      <c r="B25">
        <f>IF(ISNUMBER(SEARCH("diesel",'Honey Production - User Input'!$B$44)),'Honey Production - User Input'!$C$44/'Honey Production - User Input'!$D$44,0)*E24</f>
        <v>0</v>
      </c>
      <c r="C25" t="e">
        <f>IF(ISNUMBER(SEARCH("diesel",'Honey Production - User Input'!$B$44)),0,'Honey Production - User Input'!$C$44/'Honey Production - User Input'!$D$44)*E25</f>
        <v>#DIV/0!</v>
      </c>
      <c r="E25">
        <f>IF(ISNUMBER(SEARCH("Bee supplies and other activities",'Honey Production - User Input'!A$42)),1,0)</f>
        <v>0</v>
      </c>
    </row>
    <row r="26" spans="1:5" ht="15">
      <c r="A26" s="32" t="s">
        <v>31</v>
      </c>
      <c r="B26">
        <f>IF(ISNUMBER(SEARCH("diesel",'Honey Production - User Input'!$B$47)),'Honey Production - User Input'!$C$47/'Honey Production - User Input'!$D$47,0)*E26</f>
        <v>0</v>
      </c>
      <c r="C26" t="e">
        <f>IF(ISNUMBER(SEARCH("diesel",'Honey Production - User Input'!$B$47)),0,'Honey Production - User Input'!$C$47/'Honey Production - User Input'!$D$47)*E26</f>
        <v>#DIV/0!</v>
      </c>
      <c r="E26">
        <f>IF(ISNUMBER(SEARCH("Bee supplies and other activities",'Honey Production - User Input'!A$46)),1,0)</f>
        <v>0</v>
      </c>
    </row>
    <row r="27" spans="1:5" ht="15">
      <c r="A27" s="32" t="s">
        <v>248</v>
      </c>
      <c r="B27" t="e">
        <f>IF(ISNUMBER(SEARCH("diesel",'Honey Production - User Input'!$B$48)),'Honey Production - User Input'!$C$48/'Honey Production - User Input'!$D$48,0)*E27</f>
        <v>#DIV/0!</v>
      </c>
      <c r="C27">
        <f>IF(ISNUMBER(SEARCH("diesel",'Honey Production - User Input'!$B$48)),0,'Honey Production - User Input'!$C$48/'Honey Production - User Input'!$D$48)*E27</f>
        <v>0</v>
      </c>
      <c r="E27">
        <f>IF(ISNUMBER(SEARCH("Bee supplies and other activities",'Honey Production - User Input'!A$46)),1,0)</f>
        <v>0</v>
      </c>
    </row>
    <row r="30" spans="1:3" ht="18.75">
      <c r="A30" s="35" t="s">
        <v>82</v>
      </c>
      <c r="B30" t="s">
        <v>252</v>
      </c>
      <c r="C30" t="s">
        <v>253</v>
      </c>
    </row>
    <row r="31" spans="1:3" ht="15">
      <c r="A31" s="1" t="s">
        <v>117</v>
      </c>
      <c r="B31">
        <f>IF(ISNUMBER(SEARCH("diesel",'Honey Production - User Input'!B51)),'Honey Production - User Input'!C51,IF(ISNUMBER(SEARCH("diesel",'Honey Production - User Input'!B52)),'Honey Production - User Input'!C52,0))</f>
        <v>5000</v>
      </c>
      <c r="C31">
        <f>IF(ISNUMBER(SEARCH("gasoline",'Honey Production - User Input'!B51)),'Honey Production - User Input'!C51,IF(ISNUMBER(SEARCH("gasoline",'Honey Production - User Input'!B52)),'Honey Production - User Input'!C52,0))</f>
        <v>0</v>
      </c>
    </row>
    <row r="32" spans="1:3" ht="15">
      <c r="A32" s="1" t="s">
        <v>249</v>
      </c>
      <c r="B32">
        <f>IF(ISNUMBER(SEARCH("diesel",'Honey Production - User Input'!B53)),'Honey Production - User Input'!C53,IF(ISNUMBER(SEARCH("diesel",'Honey Production - User Input'!B54)),'Honey Production - User Input'!C54,0))</f>
        <v>1816</v>
      </c>
      <c r="C32">
        <f>IF(ISNUMBER(SEARCH("gasoline",'Honey Production - User Input'!B53)),'Honey Production - User Input'!C53,IF(ISNUMBER(SEARCH("gasoline",'Honey Production - User Input'!B54)),'Honey Production - User Input'!C54,0))</f>
        <v>0</v>
      </c>
    </row>
    <row r="35" ht="18.75">
      <c r="A35" s="36" t="s">
        <v>395</v>
      </c>
    </row>
    <row r="36" spans="2:8" ht="15">
      <c r="B36" t="s">
        <v>396</v>
      </c>
      <c r="C36" t="s">
        <v>255</v>
      </c>
      <c r="D36" t="s">
        <v>397</v>
      </c>
      <c r="E36" t="s">
        <v>56</v>
      </c>
      <c r="F36" t="s">
        <v>402</v>
      </c>
      <c r="G36" t="s">
        <v>403</v>
      </c>
      <c r="H36" t="s">
        <v>404</v>
      </c>
    </row>
    <row r="37" spans="1:8" ht="15">
      <c r="A37" t="s">
        <v>75</v>
      </c>
      <c r="B37" t="s">
        <v>214</v>
      </c>
      <c r="C37" t="s">
        <v>411</v>
      </c>
      <c r="D37">
        <v>6</v>
      </c>
      <c r="E37" t="s">
        <v>63</v>
      </c>
      <c r="F37">
        <v>17.238</v>
      </c>
      <c r="G37" t="s">
        <v>408</v>
      </c>
      <c r="H37">
        <v>5.4929999999999986</v>
      </c>
    </row>
    <row r="38" spans="1:8" ht="15">
      <c r="A38" t="s">
        <v>73</v>
      </c>
      <c r="B38" t="s">
        <v>74</v>
      </c>
      <c r="C38" t="s">
        <v>407</v>
      </c>
      <c r="D38">
        <v>8</v>
      </c>
      <c r="E38" t="s">
        <v>63</v>
      </c>
      <c r="F38">
        <v>21.821</v>
      </c>
      <c r="G38" t="s">
        <v>408</v>
      </c>
      <c r="H38">
        <v>5.391</v>
      </c>
    </row>
    <row r="39" spans="1:8" ht="15">
      <c r="A39" t="s">
        <v>405</v>
      </c>
      <c r="B39" t="s">
        <v>406</v>
      </c>
      <c r="C39" t="s">
        <v>407</v>
      </c>
      <c r="D39">
        <v>22</v>
      </c>
      <c r="E39" t="s">
        <v>63</v>
      </c>
      <c r="F39">
        <v>51.595</v>
      </c>
      <c r="G39" t="s">
        <v>408</v>
      </c>
      <c r="H39">
        <v>5.52</v>
      </c>
    </row>
    <row r="40" spans="1:8" ht="15">
      <c r="A40" t="s">
        <v>70</v>
      </c>
      <c r="B40" t="s">
        <v>71</v>
      </c>
      <c r="C40" t="s">
        <v>411</v>
      </c>
      <c r="D40">
        <v>12</v>
      </c>
      <c r="E40" t="s">
        <v>63</v>
      </c>
      <c r="F40">
        <v>24.332</v>
      </c>
      <c r="G40" t="s">
        <v>72</v>
      </c>
      <c r="H40">
        <v>11.484</v>
      </c>
    </row>
    <row r="41" spans="1:8" ht="15">
      <c r="A41" t="s">
        <v>336</v>
      </c>
      <c r="B41" t="s">
        <v>410</v>
      </c>
      <c r="C41" t="s">
        <v>411</v>
      </c>
      <c r="D41">
        <v>12</v>
      </c>
      <c r="E41" t="s">
        <v>63</v>
      </c>
      <c r="F41">
        <v>32.731</v>
      </c>
      <c r="G41" t="s">
        <v>408</v>
      </c>
      <c r="H41">
        <v>4.636999999999999</v>
      </c>
    </row>
    <row r="42" spans="1:8" ht="15">
      <c r="A42" t="s">
        <v>409</v>
      </c>
      <c r="B42" t="s">
        <v>410</v>
      </c>
      <c r="C42" t="s">
        <v>411</v>
      </c>
      <c r="D42">
        <v>28</v>
      </c>
      <c r="E42" t="s">
        <v>63</v>
      </c>
      <c r="F42">
        <v>49.268</v>
      </c>
      <c r="G42" t="s">
        <v>327</v>
      </c>
      <c r="H42">
        <v>8.366000000000003</v>
      </c>
    </row>
    <row r="43" spans="1:8" ht="12.75" customHeight="1">
      <c r="A43" t="s">
        <v>342</v>
      </c>
      <c r="B43" t="s">
        <v>410</v>
      </c>
      <c r="C43" t="s">
        <v>430</v>
      </c>
      <c r="D43">
        <v>6</v>
      </c>
      <c r="E43" t="s">
        <v>63</v>
      </c>
      <c r="F43">
        <v>139.33</v>
      </c>
      <c r="G43" t="s">
        <v>340</v>
      </c>
      <c r="H43">
        <v>6.272</v>
      </c>
    </row>
    <row r="44" spans="1:8" ht="15">
      <c r="A44" t="s">
        <v>343</v>
      </c>
      <c r="B44" t="s">
        <v>410</v>
      </c>
      <c r="C44" t="s">
        <v>430</v>
      </c>
      <c r="D44">
        <v>12</v>
      </c>
      <c r="E44" t="s">
        <v>63</v>
      </c>
      <c r="F44">
        <v>233.342</v>
      </c>
      <c r="G44" t="s">
        <v>340</v>
      </c>
      <c r="H44">
        <v>8.344000000000001</v>
      </c>
    </row>
    <row r="45" spans="1:8" ht="15">
      <c r="A45" t="s">
        <v>341</v>
      </c>
      <c r="B45" t="s">
        <v>410</v>
      </c>
      <c r="C45" t="s">
        <v>430</v>
      </c>
      <c r="D45">
        <v>20</v>
      </c>
      <c r="E45" t="s">
        <v>63</v>
      </c>
      <c r="F45">
        <v>359.492</v>
      </c>
      <c r="G45" t="s">
        <v>340</v>
      </c>
      <c r="H45">
        <v>7.533</v>
      </c>
    </row>
    <row r="46" spans="1:8" ht="15">
      <c r="A46" t="s">
        <v>328</v>
      </c>
      <c r="B46" t="s">
        <v>68</v>
      </c>
      <c r="C46" t="s">
        <v>430</v>
      </c>
      <c r="D46">
        <v>8</v>
      </c>
      <c r="E46" t="s">
        <v>63</v>
      </c>
      <c r="F46">
        <v>208.48</v>
      </c>
      <c r="G46" t="s">
        <v>69</v>
      </c>
      <c r="H46">
        <v>9.356000000000003</v>
      </c>
    </row>
    <row r="47" spans="1:8" ht="15">
      <c r="A47" t="s">
        <v>337</v>
      </c>
      <c r="B47" t="s">
        <v>338</v>
      </c>
      <c r="C47" t="s">
        <v>430</v>
      </c>
      <c r="D47">
        <v>56</v>
      </c>
      <c r="E47" t="s">
        <v>63</v>
      </c>
      <c r="F47">
        <v>596.26</v>
      </c>
      <c r="G47" t="s">
        <v>327</v>
      </c>
      <c r="H47">
        <v>11.784</v>
      </c>
    </row>
    <row r="48" spans="1:8" ht="15">
      <c r="A48" t="s">
        <v>215</v>
      </c>
      <c r="B48" t="s">
        <v>334</v>
      </c>
      <c r="C48" t="s">
        <v>335</v>
      </c>
      <c r="D48">
        <v>5</v>
      </c>
      <c r="E48" t="s">
        <v>243</v>
      </c>
      <c r="F48">
        <v>63.704</v>
      </c>
      <c r="G48" t="s">
        <v>327</v>
      </c>
      <c r="H48">
        <v>4.604</v>
      </c>
    </row>
    <row r="49" spans="1:8" ht="15">
      <c r="A49" t="s">
        <v>339</v>
      </c>
      <c r="B49" t="s">
        <v>334</v>
      </c>
      <c r="C49" t="s">
        <v>335</v>
      </c>
      <c r="D49">
        <v>6</v>
      </c>
      <c r="E49" t="s">
        <v>243</v>
      </c>
      <c r="F49">
        <v>72.842</v>
      </c>
      <c r="G49" t="s">
        <v>340</v>
      </c>
      <c r="H49">
        <v>4.522</v>
      </c>
    </row>
    <row r="50" spans="1:8" ht="15">
      <c r="A50" t="s">
        <v>344</v>
      </c>
      <c r="B50" t="s">
        <v>345</v>
      </c>
      <c r="C50" t="s">
        <v>335</v>
      </c>
      <c r="D50">
        <v>1</v>
      </c>
      <c r="E50" t="s">
        <v>241</v>
      </c>
      <c r="F50">
        <v>266.43</v>
      </c>
      <c r="G50" s="265" t="s">
        <v>219</v>
      </c>
      <c r="H50" s="265"/>
    </row>
    <row r="51" spans="1:8" ht="15">
      <c r="A51" t="s">
        <v>220</v>
      </c>
      <c r="B51" t="s">
        <v>345</v>
      </c>
      <c r="C51" t="s">
        <v>335</v>
      </c>
      <c r="D51">
        <v>5</v>
      </c>
      <c r="E51" t="s">
        <v>241</v>
      </c>
      <c r="F51">
        <v>485.91</v>
      </c>
      <c r="G51" s="265" t="s">
        <v>219</v>
      </c>
      <c r="H51" s="265"/>
    </row>
    <row r="54" spans="2:8" ht="15">
      <c r="B54" t="s">
        <v>221</v>
      </c>
      <c r="F54">
        <f>2000*F38/1000</f>
        <v>43.642</v>
      </c>
      <c r="H54">
        <f>2000*H38/1000</f>
        <v>10.782</v>
      </c>
    </row>
    <row r="55" ht="15">
      <c r="B55" t="s">
        <v>222</v>
      </c>
    </row>
    <row r="56" ht="15">
      <c r="B56" t="s">
        <v>223</v>
      </c>
    </row>
    <row r="57" ht="15">
      <c r="B57" t="s">
        <v>388</v>
      </c>
    </row>
    <row r="58" ht="15">
      <c r="B58" t="s">
        <v>84</v>
      </c>
    </row>
    <row r="59" ht="15">
      <c r="B59" t="s">
        <v>349</v>
      </c>
    </row>
    <row r="60" ht="15">
      <c r="B60" t="s">
        <v>376</v>
      </c>
    </row>
    <row r="61" ht="15">
      <c r="B61" t="s">
        <v>377</v>
      </c>
    </row>
    <row r="62" ht="15">
      <c r="B62" t="s">
        <v>378</v>
      </c>
    </row>
    <row r="63" ht="15">
      <c r="B63" t="s">
        <v>379</v>
      </c>
    </row>
    <row r="64" ht="15">
      <c r="B64" t="s">
        <v>383</v>
      </c>
    </row>
    <row r="65" ht="15">
      <c r="B65" t="s">
        <v>389</v>
      </c>
    </row>
    <row r="66" ht="15">
      <c r="B66" t="s">
        <v>346</v>
      </c>
    </row>
    <row r="67" ht="15">
      <c r="B67" t="s">
        <v>347</v>
      </c>
    </row>
    <row r="68" ht="15">
      <c r="B68" t="s">
        <v>348</v>
      </c>
    </row>
  </sheetData>
  <sheetProtection/>
  <mergeCells count="2">
    <mergeCell ref="G50:H50"/>
    <mergeCell ref="G51:H5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K32"/>
  <sheetViews>
    <sheetView zoomScalePageLayoutView="0" workbookViewId="0" topLeftCell="A1">
      <selection activeCell="H11" sqref="H11"/>
    </sheetView>
  </sheetViews>
  <sheetFormatPr defaultColWidth="11.421875" defaultRowHeight="15"/>
  <cols>
    <col min="1" max="1" width="30.421875" style="0" bestFit="1" customWidth="1"/>
    <col min="2" max="2" width="13.421875" style="0" bestFit="1" customWidth="1"/>
  </cols>
  <sheetData>
    <row r="1" ht="15">
      <c r="A1" t="s">
        <v>145</v>
      </c>
    </row>
    <row r="3" spans="1:5" ht="15">
      <c r="A3" t="s">
        <v>369</v>
      </c>
      <c r="E3" t="s">
        <v>434</v>
      </c>
    </row>
    <row r="4" spans="1:6" ht="15">
      <c r="A4" t="s">
        <v>431</v>
      </c>
      <c r="B4" t="s">
        <v>433</v>
      </c>
      <c r="C4" t="s">
        <v>136</v>
      </c>
      <c r="E4" t="s">
        <v>435</v>
      </c>
      <c r="F4" t="s">
        <v>136</v>
      </c>
    </row>
    <row r="5" spans="1:6" ht="15">
      <c r="A5">
        <v>6</v>
      </c>
      <c r="B5">
        <f>Sheet2!F37</f>
        <v>17.238</v>
      </c>
      <c r="C5">
        <f>Sheet2!H37</f>
        <v>5.4929999999999986</v>
      </c>
      <c r="E5">
        <f aca="true" t="shared" si="0" ref="E5:F12">B5/$A5</f>
        <v>2.8729999999999998</v>
      </c>
      <c r="F5">
        <f t="shared" si="0"/>
        <v>0.9154999999999998</v>
      </c>
    </row>
    <row r="6" spans="1:6" ht="15">
      <c r="A6">
        <v>8</v>
      </c>
      <c r="B6">
        <f>Sheet2!F38</f>
        <v>21.821</v>
      </c>
      <c r="C6">
        <f>Sheet2!H38</f>
        <v>5.391</v>
      </c>
      <c r="E6">
        <f t="shared" si="0"/>
        <v>2.727625</v>
      </c>
      <c r="F6">
        <f t="shared" si="0"/>
        <v>0.673875</v>
      </c>
    </row>
    <row r="7" spans="1:6" ht="15">
      <c r="A7">
        <v>12</v>
      </c>
      <c r="B7">
        <f>Sheet2!F40</f>
        <v>24.332</v>
      </c>
      <c r="C7">
        <f>Sheet2!H40</f>
        <v>11.484</v>
      </c>
      <c r="E7">
        <f t="shared" si="0"/>
        <v>2.0276666666666667</v>
      </c>
      <c r="F7">
        <f t="shared" si="0"/>
        <v>0.957</v>
      </c>
    </row>
    <row r="8" spans="1:6" ht="15">
      <c r="A8">
        <v>12</v>
      </c>
      <c r="B8">
        <f>Sheet2!F41</f>
        <v>32.731</v>
      </c>
      <c r="C8">
        <f>Sheet2!H41</f>
        <v>4.636999999999999</v>
      </c>
      <c r="E8">
        <f t="shared" si="0"/>
        <v>2.7275833333333335</v>
      </c>
      <c r="F8">
        <f t="shared" si="0"/>
        <v>0.3864166666666666</v>
      </c>
    </row>
    <row r="9" spans="1:6" ht="15">
      <c r="A9">
        <v>22</v>
      </c>
      <c r="B9">
        <f>Sheet2!F39</f>
        <v>51.595</v>
      </c>
      <c r="C9">
        <f>Sheet2!H39</f>
        <v>5.52</v>
      </c>
      <c r="E9">
        <f t="shared" si="0"/>
        <v>2.3452272727272727</v>
      </c>
      <c r="F9">
        <f t="shared" si="0"/>
        <v>0.2509090909090909</v>
      </c>
    </row>
    <row r="10" spans="1:8" ht="15">
      <c r="A10">
        <v>28</v>
      </c>
      <c r="B10">
        <f>Sheet2!F42</f>
        <v>49.268</v>
      </c>
      <c r="C10">
        <f>Sheet2!H42</f>
        <v>8.366000000000003</v>
      </c>
      <c r="E10">
        <f t="shared" si="0"/>
        <v>1.7595714285714286</v>
      </c>
      <c r="F10">
        <f t="shared" si="0"/>
        <v>0.2987857142857144</v>
      </c>
      <c r="H10" t="s">
        <v>390</v>
      </c>
    </row>
    <row r="11" spans="1:6" ht="15">
      <c r="A11">
        <f>5*16</f>
        <v>80</v>
      </c>
      <c r="B11">
        <f>Sheet2!F48</f>
        <v>63.704</v>
      </c>
      <c r="C11">
        <f>Sheet2!H48</f>
        <v>4.604</v>
      </c>
      <c r="E11">
        <f t="shared" si="0"/>
        <v>0.7963</v>
      </c>
      <c r="F11">
        <f t="shared" si="0"/>
        <v>0.057550000000000004</v>
      </c>
    </row>
    <row r="12" spans="1:6" ht="15">
      <c r="A12">
        <f>6*16</f>
        <v>96</v>
      </c>
      <c r="B12">
        <f>Sheet2!F49</f>
        <v>72.842</v>
      </c>
      <c r="C12">
        <f>Sheet2!H49</f>
        <v>4.522</v>
      </c>
      <c r="E12">
        <f t="shared" si="0"/>
        <v>0.7587708333333333</v>
      </c>
      <c r="F12">
        <f t="shared" si="0"/>
        <v>0.04710416666666667</v>
      </c>
    </row>
    <row r="13" spans="1:8" ht="15">
      <c r="A13" t="s">
        <v>437</v>
      </c>
      <c r="E13">
        <f>AVERAGE(E5:E9)</f>
        <v>2.5402204545454548</v>
      </c>
      <c r="F13">
        <f>AVERAGE(F5:F9)</f>
        <v>0.6367401515151514</v>
      </c>
      <c r="H13">
        <f>1.5*F13</f>
        <v>0.9551102272727271</v>
      </c>
    </row>
    <row r="14" spans="1:11" ht="15">
      <c r="A14" t="s">
        <v>436</v>
      </c>
      <c r="E14">
        <f>AVERAGE(E10:E12)</f>
        <v>1.104880753968254</v>
      </c>
      <c r="F14">
        <f>AVERAGE(F10:F12)</f>
        <v>0.13447996031746035</v>
      </c>
      <c r="H14">
        <f>1.5*F14</f>
        <v>0.20171994047619052</v>
      </c>
      <c r="J14">
        <f>25*F14</f>
        <v>3.3619990079365087</v>
      </c>
      <c r="K14">
        <f>J14/1000</f>
        <v>0.0033619990079365087</v>
      </c>
    </row>
    <row r="16" ht="15">
      <c r="A16" t="s">
        <v>115</v>
      </c>
    </row>
    <row r="17" spans="1:2" ht="15">
      <c r="A17" t="s">
        <v>431</v>
      </c>
      <c r="B17" t="s">
        <v>432</v>
      </c>
    </row>
    <row r="18" spans="1:6" ht="15">
      <c r="A18">
        <v>6</v>
      </c>
      <c r="B18">
        <f>Sheet2!F43</f>
        <v>139.33</v>
      </c>
      <c r="C18">
        <f>Sheet2!H43</f>
        <v>6.272</v>
      </c>
      <c r="E18">
        <f aca="true" t="shared" si="1" ref="E18:F21">B18/$A18</f>
        <v>23.221666666666668</v>
      </c>
      <c r="F18">
        <f t="shared" si="1"/>
        <v>1.0453333333333334</v>
      </c>
    </row>
    <row r="19" spans="1:6" ht="15">
      <c r="A19">
        <v>8</v>
      </c>
      <c r="B19">
        <f>Sheet2!F46</f>
        <v>208.48</v>
      </c>
      <c r="C19">
        <f>Sheet2!H46</f>
        <v>9.356000000000003</v>
      </c>
      <c r="E19">
        <f t="shared" si="1"/>
        <v>26.06</v>
      </c>
      <c r="F19">
        <f t="shared" si="1"/>
        <v>1.1695000000000004</v>
      </c>
    </row>
    <row r="20" spans="1:6" ht="15">
      <c r="A20">
        <v>12</v>
      </c>
      <c r="B20">
        <f>Sheet2!F44</f>
        <v>233.342</v>
      </c>
      <c r="C20">
        <f>Sheet2!H44</f>
        <v>8.344000000000001</v>
      </c>
      <c r="E20">
        <f t="shared" si="1"/>
        <v>19.44516666666667</v>
      </c>
      <c r="F20">
        <f t="shared" si="1"/>
        <v>0.6953333333333335</v>
      </c>
    </row>
    <row r="21" spans="1:6" ht="15">
      <c r="A21">
        <v>20</v>
      </c>
      <c r="B21">
        <f>Sheet2!F45</f>
        <v>359.492</v>
      </c>
      <c r="C21">
        <f>Sheet2!H45</f>
        <v>7.533</v>
      </c>
      <c r="E21">
        <f t="shared" si="1"/>
        <v>17.974600000000002</v>
      </c>
      <c r="F21">
        <f t="shared" si="1"/>
        <v>0.37665000000000004</v>
      </c>
    </row>
    <row r="22" spans="1:6" ht="15">
      <c r="A22">
        <v>56</v>
      </c>
      <c r="B22">
        <f>Sheet2!F47</f>
        <v>596.26</v>
      </c>
      <c r="C22">
        <f>Sheet2!H47</f>
        <v>11.784</v>
      </c>
      <c r="E22">
        <f>B22/$A22</f>
        <v>10.647499999999999</v>
      </c>
      <c r="F22">
        <f>C22/$A22</f>
        <v>0.21042857142857144</v>
      </c>
    </row>
    <row r="23" spans="1:6" ht="15">
      <c r="A23" t="s">
        <v>437</v>
      </c>
      <c r="E23">
        <f>AVERAGE(E18:E20)</f>
        <v>22.908944444444444</v>
      </c>
      <c r="F23">
        <f>AVERAGE(F18:F20)</f>
        <v>0.9700555555555558</v>
      </c>
    </row>
    <row r="24" spans="1:6" ht="15">
      <c r="A24" t="s">
        <v>436</v>
      </c>
      <c r="E24">
        <f>AVERAGE(E21:E22)</f>
        <v>14.311050000000002</v>
      </c>
      <c r="F24">
        <f>AVERAGE(F21:F22)</f>
        <v>0.2935392857142857</v>
      </c>
    </row>
    <row r="27" spans="6:8" ht="15">
      <c r="F27" t="s">
        <v>392</v>
      </c>
      <c r="H27" t="s">
        <v>393</v>
      </c>
    </row>
    <row r="28" ht="15">
      <c r="A28" t="s">
        <v>391</v>
      </c>
    </row>
    <row r="29" spans="1:8" ht="15">
      <c r="A29" s="23" t="s">
        <v>313</v>
      </c>
      <c r="B29" s="44">
        <f>'Packaging - User Input'!B35</f>
        <v>0</v>
      </c>
      <c r="C29" s="23" t="s">
        <v>63</v>
      </c>
      <c r="F29">
        <f>IF(B29&lt;20,1.5*B29*$F$13,1.5*B29*$F$14)</f>
        <v>0</v>
      </c>
      <c r="H29">
        <f>IF(B29&gt;20,B29*$F$14,B29*$F$13)</f>
        <v>0</v>
      </c>
    </row>
    <row r="30" spans="1:8" ht="15">
      <c r="A30" s="23" t="s">
        <v>313</v>
      </c>
      <c r="B30" s="44">
        <f>'Packaging - User Input'!B36</f>
        <v>0</v>
      </c>
      <c r="C30" s="23" t="s">
        <v>63</v>
      </c>
      <c r="F30">
        <f>IF(B30&lt;20,1.5*B30*$F$13/1000,1.5*B30*$F$14/1000)</f>
        <v>0</v>
      </c>
      <c r="H30">
        <f>IF(B30&gt;20,B30*$F$14/1000,B30*$F$13/1000)</f>
        <v>0</v>
      </c>
    </row>
    <row r="31" spans="1:8" ht="15">
      <c r="A31" s="23" t="s">
        <v>313</v>
      </c>
      <c r="B31" s="44">
        <f>'Packaging - User Input'!B37</f>
        <v>0</v>
      </c>
      <c r="C31" s="23" t="s">
        <v>63</v>
      </c>
      <c r="F31">
        <f>IF(B31&lt;20,1.5*B31*$F$13/1000,1.5*B31*$F$14/1000)</f>
        <v>0</v>
      </c>
      <c r="H31">
        <f>IF(B31&gt;20,B31*$F$14/1000,B31*$F$13/1000)</f>
        <v>0</v>
      </c>
    </row>
    <row r="32" spans="1:8" ht="15">
      <c r="A32" s="23" t="s">
        <v>313</v>
      </c>
      <c r="B32" s="44">
        <f>'Packaging - User Input'!B38</f>
        <v>0</v>
      </c>
      <c r="C32" s="23" t="s">
        <v>63</v>
      </c>
      <c r="F32">
        <f>IF(B32&lt;20,1.5*B32*$F$13/1000,1.5*B32*$F$14/1000)</f>
        <v>0</v>
      </c>
      <c r="H32">
        <f>IF(B32&gt;20,B32*$F$14/1000,B32*$F$13/1000)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73"/>
  <sheetViews>
    <sheetView zoomScalePageLayoutView="0" workbookViewId="0" topLeftCell="A19">
      <selection activeCell="B39" sqref="B39"/>
    </sheetView>
  </sheetViews>
  <sheetFormatPr defaultColWidth="11.421875" defaultRowHeight="15"/>
  <cols>
    <col min="1" max="1" width="61.28125" style="144" customWidth="1"/>
    <col min="2" max="2" width="35.00390625" style="144" customWidth="1"/>
    <col min="3" max="3" width="14.140625" style="144" customWidth="1"/>
    <col min="4" max="4" width="11.421875" style="144" customWidth="1"/>
    <col min="5" max="5" width="15.00390625" style="144" customWidth="1"/>
    <col min="6" max="6" width="29.140625" style="144" hidden="1" customWidth="1"/>
    <col min="7" max="12" width="11.421875" style="144" hidden="1" customWidth="1"/>
    <col min="13" max="13" width="11.421875" style="144" customWidth="1"/>
    <col min="14" max="16384" width="11.421875" style="144" customWidth="1"/>
  </cols>
  <sheetData>
    <row r="1" spans="1:2" ht="26.25">
      <c r="A1" s="142" t="s">
        <v>298</v>
      </c>
      <c r="B1" s="143" t="s">
        <v>447</v>
      </c>
    </row>
    <row r="2" spans="1:2" ht="15">
      <c r="A2" s="145" t="s">
        <v>168</v>
      </c>
      <c r="B2" s="44"/>
    </row>
    <row r="3" spans="1:2" ht="15">
      <c r="A3" s="145" t="s">
        <v>495</v>
      </c>
      <c r="B3" s="44"/>
    </row>
    <row r="4" spans="1:5" ht="15">
      <c r="A4" s="145" t="s">
        <v>170</v>
      </c>
      <c r="B4" s="44"/>
      <c r="E4" s="146"/>
    </row>
    <row r="5" spans="1:10" ht="15">
      <c r="A5" s="145" t="s">
        <v>171</v>
      </c>
      <c r="B5" s="44"/>
      <c r="F5" s="144" t="s">
        <v>386</v>
      </c>
      <c r="J5" s="144" t="s">
        <v>387</v>
      </c>
    </row>
    <row r="6" spans="6:11" ht="15">
      <c r="F6" s="144" t="s">
        <v>188</v>
      </c>
      <c r="J6" s="147" t="s">
        <v>218</v>
      </c>
      <c r="K6" s="147"/>
    </row>
    <row r="7" spans="2:11" ht="15">
      <c r="B7" s="236" t="s">
        <v>462</v>
      </c>
      <c r="F7" s="144" t="s">
        <v>359</v>
      </c>
      <c r="J7" s="147" t="s">
        <v>23</v>
      </c>
      <c r="K7" s="147"/>
    </row>
    <row r="8" spans="1:11" ht="15">
      <c r="A8" s="148" t="s">
        <v>193</v>
      </c>
      <c r="B8" s="44"/>
      <c r="C8" s="144" t="s">
        <v>194</v>
      </c>
      <c r="F8" s="144" t="s">
        <v>190</v>
      </c>
      <c r="J8" s="147" t="s">
        <v>180</v>
      </c>
      <c r="K8" s="147"/>
    </row>
    <row r="9" spans="1:11" ht="15">
      <c r="A9" s="148" t="s">
        <v>166</v>
      </c>
      <c r="B9" s="44"/>
      <c r="C9" s="144" t="s">
        <v>167</v>
      </c>
      <c r="F9" s="144" t="s">
        <v>282</v>
      </c>
      <c r="J9" s="149" t="s">
        <v>181</v>
      </c>
      <c r="K9" s="147"/>
    </row>
    <row r="10" spans="1:11" ht="30">
      <c r="A10" s="239" t="s">
        <v>292</v>
      </c>
      <c r="B10" s="45"/>
      <c r="F10" s="144" t="s">
        <v>21</v>
      </c>
      <c r="J10" s="147" t="s">
        <v>49</v>
      </c>
      <c r="K10" s="149"/>
    </row>
    <row r="11" spans="1:11" s="151" customFormat="1" ht="32.25" customHeight="1">
      <c r="A11" s="150" t="s">
        <v>461</v>
      </c>
      <c r="F11" s="151" t="s">
        <v>238</v>
      </c>
      <c r="J11" s="152" t="s">
        <v>51</v>
      </c>
      <c r="K11" s="152"/>
    </row>
    <row r="12" spans="1:16" ht="18.75">
      <c r="A12" s="153" t="s">
        <v>384</v>
      </c>
      <c r="B12" s="154" t="s">
        <v>385</v>
      </c>
      <c r="D12" s="159" t="s">
        <v>242</v>
      </c>
      <c r="E12" s="159" t="s">
        <v>359</v>
      </c>
      <c r="F12" s="159"/>
      <c r="G12" s="159"/>
      <c r="H12" s="159"/>
      <c r="I12" s="159"/>
      <c r="J12" s="159" t="s">
        <v>52</v>
      </c>
      <c r="K12" s="159"/>
      <c r="L12" s="159"/>
      <c r="M12" s="159" t="s">
        <v>282</v>
      </c>
      <c r="N12" s="159" t="s">
        <v>21</v>
      </c>
      <c r="O12" s="159" t="s">
        <v>238</v>
      </c>
      <c r="P12" s="159" t="s">
        <v>190</v>
      </c>
    </row>
    <row r="13" spans="1:16" ht="15">
      <c r="A13" s="46" t="s">
        <v>188</v>
      </c>
      <c r="B13" s="44"/>
      <c r="C13" s="144" t="s">
        <v>243</v>
      </c>
      <c r="D13" s="159">
        <f aca="true" t="shared" si="0" ref="D13:D18">IF(A13="sugar syrup",B13,0)</f>
        <v>0</v>
      </c>
      <c r="E13" s="159">
        <f aca="true" t="shared" si="1" ref="E13:E18">IF(A13="pollen-substitute patties (No pollen)",B13,0)</f>
        <v>0</v>
      </c>
      <c r="F13" s="159"/>
      <c r="G13" s="159"/>
      <c r="H13" s="159"/>
      <c r="I13" s="159"/>
      <c r="J13" s="159" t="s">
        <v>79</v>
      </c>
      <c r="K13" s="159"/>
      <c r="L13" s="159"/>
      <c r="M13" s="159">
        <f aca="true" t="shared" si="2" ref="M13:M18">IF(A13="corn syrup",B13,0)</f>
        <v>0</v>
      </c>
      <c r="N13" s="159">
        <f aca="true" t="shared" si="3" ref="N13:N18">IF(A13="sucrose (or sugar)",B13,0)</f>
        <v>0</v>
      </c>
      <c r="O13" s="159">
        <f aca="true" t="shared" si="4" ref="O13:O18">IF(A13="Brewers yeast",B13,0)</f>
        <v>0</v>
      </c>
      <c r="P13" s="159">
        <f aca="true" t="shared" si="5" ref="P13:P18">IF(A13="honey",B13,0)</f>
        <v>0</v>
      </c>
    </row>
    <row r="14" spans="1:16" ht="15">
      <c r="A14" s="46" t="s">
        <v>359</v>
      </c>
      <c r="B14" s="44"/>
      <c r="C14" s="144" t="s">
        <v>243</v>
      </c>
      <c r="D14" s="159">
        <f t="shared" si="0"/>
        <v>0</v>
      </c>
      <c r="E14" s="159">
        <f t="shared" si="1"/>
        <v>0</v>
      </c>
      <c r="F14" s="159"/>
      <c r="G14" s="159"/>
      <c r="H14" s="159"/>
      <c r="I14" s="159"/>
      <c r="J14" s="159" t="s">
        <v>78</v>
      </c>
      <c r="K14" s="159"/>
      <c r="L14" s="159"/>
      <c r="M14" s="159">
        <f t="shared" si="2"/>
        <v>0</v>
      </c>
      <c r="N14" s="159">
        <f t="shared" si="3"/>
        <v>0</v>
      </c>
      <c r="O14" s="159">
        <f t="shared" si="4"/>
        <v>0</v>
      </c>
      <c r="P14" s="159">
        <f t="shared" si="5"/>
        <v>0</v>
      </c>
    </row>
    <row r="15" spans="1:16" ht="15">
      <c r="A15" s="46" t="s">
        <v>282</v>
      </c>
      <c r="B15" s="44"/>
      <c r="C15" s="144" t="s">
        <v>243</v>
      </c>
      <c r="D15" s="159">
        <f t="shared" si="0"/>
        <v>0</v>
      </c>
      <c r="E15" s="159">
        <f t="shared" si="1"/>
        <v>0</v>
      </c>
      <c r="F15" s="159"/>
      <c r="G15" s="159"/>
      <c r="H15" s="159"/>
      <c r="I15" s="159"/>
      <c r="J15" s="159" t="s">
        <v>76</v>
      </c>
      <c r="K15" s="159"/>
      <c r="L15" s="159"/>
      <c r="M15" s="159">
        <f t="shared" si="2"/>
        <v>0</v>
      </c>
      <c r="N15" s="159">
        <f t="shared" si="3"/>
        <v>0</v>
      </c>
      <c r="O15" s="159">
        <f t="shared" si="4"/>
        <v>0</v>
      </c>
      <c r="P15" s="159">
        <f t="shared" si="5"/>
        <v>0</v>
      </c>
    </row>
    <row r="16" spans="1:16" ht="15">
      <c r="A16" s="46" t="s">
        <v>21</v>
      </c>
      <c r="B16" s="44"/>
      <c r="C16" s="144" t="s">
        <v>243</v>
      </c>
      <c r="D16" s="159">
        <f t="shared" si="0"/>
        <v>0</v>
      </c>
      <c r="E16" s="159">
        <f t="shared" si="1"/>
        <v>0</v>
      </c>
      <c r="F16" s="159"/>
      <c r="G16" s="159"/>
      <c r="H16" s="159"/>
      <c r="I16" s="159"/>
      <c r="J16" s="204" t="s">
        <v>246</v>
      </c>
      <c r="K16" s="159"/>
      <c r="L16" s="159"/>
      <c r="M16" s="159">
        <f t="shared" si="2"/>
        <v>0</v>
      </c>
      <c r="N16" s="159">
        <f t="shared" si="3"/>
        <v>0</v>
      </c>
      <c r="O16" s="159">
        <f t="shared" si="4"/>
        <v>0</v>
      </c>
      <c r="P16" s="159">
        <f t="shared" si="5"/>
        <v>0</v>
      </c>
    </row>
    <row r="17" spans="1:16" ht="15">
      <c r="A17" s="46" t="s">
        <v>238</v>
      </c>
      <c r="B17" s="44"/>
      <c r="C17" s="144" t="s">
        <v>243</v>
      </c>
      <c r="D17" s="159">
        <f t="shared" si="0"/>
        <v>0</v>
      </c>
      <c r="E17" s="159">
        <f t="shared" si="1"/>
        <v>0</v>
      </c>
      <c r="F17" s="159"/>
      <c r="G17" s="159"/>
      <c r="H17" s="159"/>
      <c r="I17" s="159"/>
      <c r="J17" s="159" t="s">
        <v>39</v>
      </c>
      <c r="K17" s="204"/>
      <c r="L17" s="159"/>
      <c r="M17" s="159">
        <f t="shared" si="2"/>
        <v>0</v>
      </c>
      <c r="N17" s="159">
        <f t="shared" si="3"/>
        <v>0</v>
      </c>
      <c r="O17" s="159">
        <f t="shared" si="4"/>
        <v>0</v>
      </c>
      <c r="P17" s="159">
        <f t="shared" si="5"/>
        <v>0</v>
      </c>
    </row>
    <row r="18" spans="1:16" ht="15">
      <c r="A18" s="46" t="s">
        <v>190</v>
      </c>
      <c r="B18" s="44"/>
      <c r="C18" s="144" t="s">
        <v>243</v>
      </c>
      <c r="D18" s="159">
        <f t="shared" si="0"/>
        <v>0</v>
      </c>
      <c r="E18" s="159">
        <f t="shared" si="1"/>
        <v>0</v>
      </c>
      <c r="F18" s="159"/>
      <c r="G18" s="159"/>
      <c r="H18" s="159"/>
      <c r="I18" s="159"/>
      <c r="J18" s="159"/>
      <c r="K18" s="159"/>
      <c r="L18" s="159"/>
      <c r="M18" s="159">
        <f t="shared" si="2"/>
        <v>0</v>
      </c>
      <c r="N18" s="159">
        <f t="shared" si="3"/>
        <v>0</v>
      </c>
      <c r="O18" s="159">
        <f t="shared" si="4"/>
        <v>0</v>
      </c>
      <c r="P18" s="159">
        <f t="shared" si="5"/>
        <v>0</v>
      </c>
    </row>
    <row r="19" spans="4:16" ht="15">
      <c r="D19" s="159">
        <f>SUM(D13:D18)</f>
        <v>0</v>
      </c>
      <c r="E19" s="159">
        <f>SUM(E13:E18)</f>
        <v>0</v>
      </c>
      <c r="F19" s="159"/>
      <c r="G19" s="159"/>
      <c r="H19" s="159"/>
      <c r="I19" s="159"/>
      <c r="J19" s="159"/>
      <c r="K19" s="159"/>
      <c r="L19" s="159"/>
      <c r="M19" s="159">
        <f>SUM(M13:M18)</f>
        <v>0</v>
      </c>
      <c r="N19" s="159">
        <f>SUM(N13:N18)</f>
        <v>0</v>
      </c>
      <c r="O19" s="159">
        <f>SUM(O13:O18)</f>
        <v>0</v>
      </c>
      <c r="P19" s="159">
        <f>SUM(P13:P18)</f>
        <v>0</v>
      </c>
    </row>
    <row r="20" spans="1:16" ht="18.75">
      <c r="A20" s="153" t="s">
        <v>490</v>
      </c>
      <c r="B20" s="154" t="s">
        <v>385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</row>
    <row r="21" spans="1:16" ht="15">
      <c r="A21" s="46" t="s">
        <v>218</v>
      </c>
      <c r="B21" s="44"/>
      <c r="C21" s="144" t="s">
        <v>243</v>
      </c>
      <c r="D21" s="159">
        <f>IF(A21="vegetable grease",B21,0)</f>
        <v>0</v>
      </c>
      <c r="E21" s="159">
        <f>IF(A21="Apiguard (thymol)",B21,0)</f>
        <v>0</v>
      </c>
      <c r="F21" s="159"/>
      <c r="G21" s="159"/>
      <c r="H21" s="159"/>
      <c r="I21" s="159"/>
      <c r="J21" s="159"/>
      <c r="K21" s="159"/>
      <c r="L21" s="159"/>
      <c r="M21" s="159">
        <f>IF(A21="Apilife (VAR thymol, eucalyptol, menthol, camphor)",B21,0)</f>
        <v>0</v>
      </c>
      <c r="N21" s="159">
        <f>IF(A21="Apistan strips (fluvalinate)",B21,0)</f>
        <v>0</v>
      </c>
      <c r="O21" s="159">
        <f>IF(A21="Bayvarol(flumethrin)",B21,0)</f>
        <v>0</v>
      </c>
      <c r="P21" s="159">
        <f>IF(A21="Apitol (cymiazole)",B21,0)</f>
        <v>0</v>
      </c>
    </row>
    <row r="22" spans="1:16" ht="15">
      <c r="A22" s="46" t="s">
        <v>23</v>
      </c>
      <c r="B22" s="44"/>
      <c r="C22" s="144" t="s">
        <v>243</v>
      </c>
      <c r="D22" s="159">
        <f aca="true" t="shared" si="6" ref="D22:D32">IF(A22="vegetable grease",B22,0)</f>
        <v>0</v>
      </c>
      <c r="E22" s="159">
        <f aca="true" t="shared" si="7" ref="E22:E32">IF(A22="Apiguard (thymol)",B22,0)</f>
        <v>0</v>
      </c>
      <c r="F22" s="159"/>
      <c r="G22" s="159"/>
      <c r="H22" s="159"/>
      <c r="I22" s="159"/>
      <c r="J22" s="159"/>
      <c r="K22" s="159"/>
      <c r="L22" s="159"/>
      <c r="M22" s="159">
        <f aca="true" t="shared" si="8" ref="M22:M32">IF(A22="Apilife (VAR thymol, eucalyptol, menthol, camphor)",B22,0)</f>
        <v>0</v>
      </c>
      <c r="N22" s="159">
        <f aca="true" t="shared" si="9" ref="N22:N32">IF(A22="Apistan strips (fluvalinate)",B22,0)</f>
        <v>0</v>
      </c>
      <c r="O22" s="159">
        <f aca="true" t="shared" si="10" ref="O22:O32">IF(A22="Bayvarol(flumethrin)",B22,0)</f>
        <v>0</v>
      </c>
      <c r="P22" s="159"/>
    </row>
    <row r="23" spans="1:16" ht="15">
      <c r="A23" s="46" t="s">
        <v>180</v>
      </c>
      <c r="B23" s="44"/>
      <c r="C23" s="144" t="s">
        <v>243</v>
      </c>
      <c r="D23" s="159">
        <f t="shared" si="6"/>
        <v>0</v>
      </c>
      <c r="E23" s="159">
        <f t="shared" si="7"/>
        <v>0</v>
      </c>
      <c r="F23" s="159"/>
      <c r="G23" s="159"/>
      <c r="H23" s="159"/>
      <c r="I23" s="159"/>
      <c r="J23" s="159"/>
      <c r="K23" s="159"/>
      <c r="L23" s="159"/>
      <c r="M23" s="159">
        <f t="shared" si="8"/>
        <v>0</v>
      </c>
      <c r="N23" s="159">
        <f t="shared" si="9"/>
        <v>0</v>
      </c>
      <c r="O23" s="159">
        <f t="shared" si="10"/>
        <v>0</v>
      </c>
      <c r="P23" s="159"/>
    </row>
    <row r="24" spans="1:16" ht="15">
      <c r="A24" s="46" t="s">
        <v>181</v>
      </c>
      <c r="B24" s="44"/>
      <c r="C24" s="144" t="s">
        <v>243</v>
      </c>
      <c r="D24" s="159">
        <f t="shared" si="6"/>
        <v>0</v>
      </c>
      <c r="E24" s="159">
        <f t="shared" si="7"/>
        <v>0</v>
      </c>
      <c r="F24" s="159"/>
      <c r="G24" s="159"/>
      <c r="H24" s="159"/>
      <c r="I24" s="159"/>
      <c r="J24" s="159"/>
      <c r="K24" s="159"/>
      <c r="L24" s="159"/>
      <c r="M24" s="159">
        <f t="shared" si="8"/>
        <v>0</v>
      </c>
      <c r="N24" s="159">
        <f t="shared" si="9"/>
        <v>0</v>
      </c>
      <c r="O24" s="159">
        <f t="shared" si="10"/>
        <v>0</v>
      </c>
      <c r="P24" s="159"/>
    </row>
    <row r="25" spans="1:16" ht="15">
      <c r="A25" s="46" t="s">
        <v>51</v>
      </c>
      <c r="B25" s="44"/>
      <c r="C25" s="144" t="s">
        <v>243</v>
      </c>
      <c r="D25" s="159">
        <f t="shared" si="6"/>
        <v>0</v>
      </c>
      <c r="E25" s="159">
        <f t="shared" si="7"/>
        <v>0</v>
      </c>
      <c r="F25" s="159"/>
      <c r="G25" s="159"/>
      <c r="H25" s="159"/>
      <c r="I25" s="159"/>
      <c r="J25" s="159"/>
      <c r="K25" s="159"/>
      <c r="L25" s="159"/>
      <c r="M25" s="159">
        <f t="shared" si="8"/>
        <v>0</v>
      </c>
      <c r="N25" s="159">
        <f t="shared" si="9"/>
        <v>0</v>
      </c>
      <c r="O25" s="159">
        <f t="shared" si="10"/>
        <v>0</v>
      </c>
      <c r="P25" s="159"/>
    </row>
    <row r="26" spans="1:16" ht="15">
      <c r="A26" s="46" t="s">
        <v>49</v>
      </c>
      <c r="B26" s="44"/>
      <c r="C26" s="144" t="s">
        <v>243</v>
      </c>
      <c r="D26" s="159">
        <f t="shared" si="6"/>
        <v>0</v>
      </c>
      <c r="E26" s="159">
        <f t="shared" si="7"/>
        <v>0</v>
      </c>
      <c r="F26" s="159"/>
      <c r="G26" s="159"/>
      <c r="H26" s="159"/>
      <c r="I26" s="159"/>
      <c r="J26" s="159"/>
      <c r="K26" s="159"/>
      <c r="L26" s="159"/>
      <c r="M26" s="159">
        <f t="shared" si="8"/>
        <v>0</v>
      </c>
      <c r="N26" s="159">
        <f t="shared" si="9"/>
        <v>0</v>
      </c>
      <c r="O26" s="159">
        <f t="shared" si="10"/>
        <v>0</v>
      </c>
      <c r="P26" s="159"/>
    </row>
    <row r="27" spans="1:16" ht="15">
      <c r="A27" s="46" t="s">
        <v>52</v>
      </c>
      <c r="B27" s="44"/>
      <c r="C27" s="144" t="s">
        <v>243</v>
      </c>
      <c r="D27" s="159">
        <f t="shared" si="6"/>
        <v>0</v>
      </c>
      <c r="E27" s="159">
        <f t="shared" si="7"/>
        <v>0</v>
      </c>
      <c r="F27" s="159"/>
      <c r="G27" s="159"/>
      <c r="H27" s="159"/>
      <c r="I27" s="159"/>
      <c r="J27" s="159"/>
      <c r="K27" s="159"/>
      <c r="L27" s="159"/>
      <c r="M27" s="159">
        <f t="shared" si="8"/>
        <v>0</v>
      </c>
      <c r="N27" s="159">
        <f t="shared" si="9"/>
        <v>0</v>
      </c>
      <c r="O27" s="159">
        <f t="shared" si="10"/>
        <v>0</v>
      </c>
      <c r="P27" s="159"/>
    </row>
    <row r="28" spans="1:16" ht="15">
      <c r="A28" s="46" t="s">
        <v>79</v>
      </c>
      <c r="B28" s="44"/>
      <c r="C28" s="144" t="s">
        <v>243</v>
      </c>
      <c r="D28" s="159">
        <f t="shared" si="6"/>
        <v>0</v>
      </c>
      <c r="E28" s="159">
        <f t="shared" si="7"/>
        <v>0</v>
      </c>
      <c r="F28" s="159"/>
      <c r="G28" s="159"/>
      <c r="H28" s="159"/>
      <c r="I28" s="159"/>
      <c r="J28" s="159"/>
      <c r="K28" s="159"/>
      <c r="L28" s="159"/>
      <c r="M28" s="159">
        <f t="shared" si="8"/>
        <v>0</v>
      </c>
      <c r="N28" s="159">
        <f t="shared" si="9"/>
        <v>0</v>
      </c>
      <c r="O28" s="159">
        <f t="shared" si="10"/>
        <v>0</v>
      </c>
      <c r="P28" s="159"/>
    </row>
    <row r="29" spans="1:16" ht="15">
      <c r="A29" s="46" t="s">
        <v>76</v>
      </c>
      <c r="B29" s="44"/>
      <c r="C29" s="144" t="s">
        <v>243</v>
      </c>
      <c r="D29" s="159">
        <f t="shared" si="6"/>
        <v>0</v>
      </c>
      <c r="E29" s="159">
        <f t="shared" si="7"/>
        <v>0</v>
      </c>
      <c r="F29" s="159"/>
      <c r="G29" s="159"/>
      <c r="H29" s="159"/>
      <c r="I29" s="159"/>
      <c r="J29" s="159"/>
      <c r="K29" s="159"/>
      <c r="L29" s="159"/>
      <c r="M29" s="159">
        <f t="shared" si="8"/>
        <v>0</v>
      </c>
      <c r="N29" s="159">
        <f t="shared" si="9"/>
        <v>0</v>
      </c>
      <c r="O29" s="159">
        <f t="shared" si="10"/>
        <v>0</v>
      </c>
      <c r="P29" s="159"/>
    </row>
    <row r="30" spans="1:16" ht="15">
      <c r="A30" s="46" t="s">
        <v>78</v>
      </c>
      <c r="B30" s="44"/>
      <c r="C30" s="144" t="s">
        <v>243</v>
      </c>
      <c r="D30" s="159">
        <f t="shared" si="6"/>
        <v>0</v>
      </c>
      <c r="E30" s="159">
        <f t="shared" si="7"/>
        <v>0</v>
      </c>
      <c r="F30" s="159"/>
      <c r="G30" s="159"/>
      <c r="H30" s="159"/>
      <c r="I30" s="159"/>
      <c r="J30" s="159"/>
      <c r="K30" s="159"/>
      <c r="L30" s="159"/>
      <c r="M30" s="159">
        <f t="shared" si="8"/>
        <v>0</v>
      </c>
      <c r="N30" s="159">
        <f t="shared" si="9"/>
        <v>0</v>
      </c>
      <c r="O30" s="159">
        <f t="shared" si="10"/>
        <v>0</v>
      </c>
      <c r="P30" s="159"/>
    </row>
    <row r="31" spans="1:16" ht="15">
      <c r="A31" s="46" t="s">
        <v>246</v>
      </c>
      <c r="B31" s="44"/>
      <c r="C31" s="144" t="s">
        <v>243</v>
      </c>
      <c r="D31" s="159">
        <f t="shared" si="6"/>
        <v>0</v>
      </c>
      <c r="E31" s="159">
        <f t="shared" si="7"/>
        <v>0</v>
      </c>
      <c r="F31" s="159"/>
      <c r="G31" s="159"/>
      <c r="H31" s="159"/>
      <c r="I31" s="159"/>
      <c r="J31" s="159"/>
      <c r="K31" s="159"/>
      <c r="L31" s="159"/>
      <c r="M31" s="159">
        <f t="shared" si="8"/>
        <v>0</v>
      </c>
      <c r="N31" s="159">
        <f t="shared" si="9"/>
        <v>0</v>
      </c>
      <c r="O31" s="159">
        <f t="shared" si="10"/>
        <v>0</v>
      </c>
      <c r="P31" s="159"/>
    </row>
    <row r="32" spans="1:16" ht="15">
      <c r="A32" s="46" t="s">
        <v>39</v>
      </c>
      <c r="B32" s="44"/>
      <c r="C32" s="144" t="s">
        <v>243</v>
      </c>
      <c r="D32" s="159">
        <f t="shared" si="6"/>
        <v>0</v>
      </c>
      <c r="E32" s="159">
        <f t="shared" si="7"/>
        <v>0</v>
      </c>
      <c r="F32" s="159"/>
      <c r="G32" s="159"/>
      <c r="H32" s="160" t="s">
        <v>176</v>
      </c>
      <c r="I32" s="159"/>
      <c r="J32" s="159"/>
      <c r="K32" s="159"/>
      <c r="L32" s="159"/>
      <c r="M32" s="159">
        <f t="shared" si="8"/>
        <v>0</v>
      </c>
      <c r="N32" s="159">
        <f t="shared" si="9"/>
        <v>0</v>
      </c>
      <c r="O32" s="159">
        <f t="shared" si="10"/>
        <v>0</v>
      </c>
      <c r="P32" s="159"/>
    </row>
    <row r="33" spans="4:16" ht="15">
      <c r="D33" s="159">
        <f>SUM(D21:D32)</f>
        <v>0</v>
      </c>
      <c r="E33" s="159">
        <f>SUM(E21:E32)</f>
        <v>0</v>
      </c>
      <c r="F33" s="159"/>
      <c r="G33" s="159"/>
      <c r="H33" s="160" t="s">
        <v>31</v>
      </c>
      <c r="I33" s="159"/>
      <c r="J33" s="159"/>
      <c r="K33" s="159"/>
      <c r="L33" s="159"/>
      <c r="M33" s="159">
        <f>SUM(M21:M32)</f>
        <v>0</v>
      </c>
      <c r="N33" s="159">
        <f>SUM(N21:N32)</f>
        <v>0</v>
      </c>
      <c r="O33" s="159">
        <f>SUM(O21:O32)</f>
        <v>0</v>
      </c>
      <c r="P33" s="159"/>
    </row>
    <row r="34" spans="1:8" s="151" customFormat="1" ht="18.75">
      <c r="A34" s="156" t="s">
        <v>460</v>
      </c>
      <c r="B34" s="157"/>
      <c r="H34" s="158" t="s">
        <v>248</v>
      </c>
    </row>
    <row r="35" spans="1:8" s="151" customFormat="1" ht="37.5">
      <c r="A35" s="241" t="s">
        <v>459</v>
      </c>
      <c r="B35" s="223">
        <v>1</v>
      </c>
      <c r="H35" s="158"/>
    </row>
    <row r="36" spans="1:18" s="199" customFormat="1" ht="17.25" customHeight="1">
      <c r="A36" s="224"/>
      <c r="E36" s="159"/>
      <c r="F36" s="159"/>
      <c r="G36" s="159"/>
      <c r="H36" s="160"/>
      <c r="I36" s="159"/>
      <c r="J36" s="159"/>
      <c r="K36" s="159"/>
      <c r="L36" s="159"/>
      <c r="M36" s="159"/>
      <c r="N36" s="159" t="s">
        <v>453</v>
      </c>
      <c r="O36" s="159"/>
      <c r="P36" s="159"/>
      <c r="Q36" s="161"/>
      <c r="R36" s="161"/>
    </row>
    <row r="37" spans="1:19" s="199" customFormat="1" ht="18.75" hidden="1">
      <c r="A37" s="153" t="s">
        <v>456</v>
      </c>
      <c r="B37" s="154" t="s">
        <v>269</v>
      </c>
      <c r="C37" s="154" t="s">
        <v>385</v>
      </c>
      <c r="E37" s="159"/>
      <c r="F37" s="159"/>
      <c r="G37" s="159"/>
      <c r="H37" s="160"/>
      <c r="I37" s="159"/>
      <c r="J37" s="159"/>
      <c r="K37" s="159"/>
      <c r="L37" s="159"/>
      <c r="M37" s="159"/>
      <c r="N37" s="159" t="s">
        <v>454</v>
      </c>
      <c r="O37" s="159"/>
      <c r="P37" s="159"/>
      <c r="Q37" s="161"/>
      <c r="R37" s="161"/>
      <c r="S37" s="161"/>
    </row>
    <row r="38" spans="1:19" s="199" customFormat="1" ht="30">
      <c r="A38" s="225" t="s">
        <v>511</v>
      </c>
      <c r="B38" s="226"/>
      <c r="C38" s="222" t="s">
        <v>121</v>
      </c>
      <c r="D38" s="222" t="s">
        <v>54</v>
      </c>
      <c r="E38" s="159" t="s">
        <v>452</v>
      </c>
      <c r="F38" s="159"/>
      <c r="G38" s="159"/>
      <c r="H38" s="159"/>
      <c r="I38" s="159"/>
      <c r="J38" s="159"/>
      <c r="K38" s="159"/>
      <c r="L38" s="159"/>
      <c r="M38" s="159"/>
      <c r="N38" s="159" t="s">
        <v>455</v>
      </c>
      <c r="O38" s="159"/>
      <c r="P38" s="159"/>
      <c r="Q38" s="161"/>
      <c r="R38" s="161"/>
      <c r="S38" s="161"/>
    </row>
    <row r="39" spans="1:19" s="199" customFormat="1" ht="15">
      <c r="A39" s="227" t="s">
        <v>501</v>
      </c>
      <c r="B39" s="203" t="s">
        <v>286</v>
      </c>
      <c r="C39" s="44">
        <v>25000</v>
      </c>
      <c r="D39" s="44">
        <v>10</v>
      </c>
      <c r="E39" s="159">
        <f>IF(D39=0,0,C39/D39)</f>
        <v>2500</v>
      </c>
      <c r="F39" s="159"/>
      <c r="G39" s="159"/>
      <c r="H39" s="159"/>
      <c r="I39" s="159"/>
      <c r="J39" s="159"/>
      <c r="K39" s="159"/>
      <c r="L39" s="159"/>
      <c r="M39" s="159">
        <f>IF(B39="Diesel",E39*LCI!$H$48,IF(B39="Gasoline",E39*LCI!$H$53,0))</f>
        <v>31039.89628646843</v>
      </c>
      <c r="N39" s="159">
        <f>IF(B39="Diesel",E39*LCI!$L$48,IF(B39="Gasoline",E39*LCI!$L$53,0))</f>
        <v>39490.73520949031</v>
      </c>
      <c r="O39" s="159">
        <f>IF(B39="Diesel",E39*LCI!$N$48,IF(B39="Gasoline",E39*LCI!$N$53,0))</f>
        <v>1026.1705586970888</v>
      </c>
      <c r="P39" s="159"/>
      <c r="Q39" s="161"/>
      <c r="R39" s="161"/>
      <c r="S39" s="161"/>
    </row>
    <row r="40" spans="1:19" s="199" customFormat="1" ht="15">
      <c r="A40" s="227" t="s">
        <v>502</v>
      </c>
      <c r="B40" s="203" t="s">
        <v>286</v>
      </c>
      <c r="C40" s="44">
        <v>20000</v>
      </c>
      <c r="D40" s="44">
        <v>10</v>
      </c>
      <c r="E40" s="159">
        <f>IF(D40=0,0,C40/D40)</f>
        <v>2000</v>
      </c>
      <c r="F40" s="159"/>
      <c r="G40" s="159"/>
      <c r="H40" s="160" t="s">
        <v>381</v>
      </c>
      <c r="I40" s="159"/>
      <c r="J40" s="159"/>
      <c r="K40" s="159"/>
      <c r="L40" s="159"/>
      <c r="M40" s="159">
        <f>IF(B40="Diesel",E40*LCI!$H$49,IF(B40="Gasoline",E40*LCI!$H$54,0))</f>
        <v>24862.11317262015</v>
      </c>
      <c r="N40" s="159">
        <f>IF(B40="Diesel",E40*LCI!$L$49,IF(B40="Gasoline",E40*LCI!$L$54,0))</f>
        <v>31692.1979555763</v>
      </c>
      <c r="O40" s="159">
        <f>IF(B40="Diesel",E40*LCI!$N$49,IF(B40="Gasoline",E40*LCI!$N$54,0))</f>
        <v>572.40786954058</v>
      </c>
      <c r="P40" s="159"/>
      <c r="Q40" s="161"/>
      <c r="R40" s="161"/>
      <c r="S40" s="161"/>
    </row>
    <row r="41" spans="2:19" s="199" customFormat="1" ht="15">
      <c r="B41" s="228"/>
      <c r="E41" s="159"/>
      <c r="F41" s="159"/>
      <c r="G41" s="159"/>
      <c r="H41" s="160" t="s">
        <v>199</v>
      </c>
      <c r="I41" s="159"/>
      <c r="J41" s="159"/>
      <c r="K41" s="159"/>
      <c r="L41" s="159"/>
      <c r="M41" s="159"/>
      <c r="N41" s="159"/>
      <c r="O41" s="159"/>
      <c r="P41" s="159"/>
      <c r="Q41" s="161"/>
      <c r="R41" s="161"/>
      <c r="S41" s="161"/>
    </row>
    <row r="42" spans="1:19" s="199" customFormat="1" ht="15">
      <c r="A42" s="224"/>
      <c r="B42" s="229"/>
      <c r="C42" s="222" t="s">
        <v>121</v>
      </c>
      <c r="D42" s="222" t="s">
        <v>54</v>
      </c>
      <c r="E42" s="159"/>
      <c r="F42" s="159"/>
      <c r="G42" s="159"/>
      <c r="H42" s="160" t="s">
        <v>316</v>
      </c>
      <c r="I42" s="159"/>
      <c r="J42" s="159"/>
      <c r="K42" s="159"/>
      <c r="L42" s="159"/>
      <c r="M42" s="159"/>
      <c r="N42" s="159"/>
      <c r="O42" s="159"/>
      <c r="P42" s="159"/>
      <c r="Q42" s="161"/>
      <c r="R42" s="161"/>
      <c r="S42" s="161"/>
    </row>
    <row r="43" spans="1:19" s="199" customFormat="1" ht="15">
      <c r="A43" s="230" t="s">
        <v>492</v>
      </c>
      <c r="B43" s="203" t="s">
        <v>200</v>
      </c>
      <c r="C43" s="202">
        <v>0</v>
      </c>
      <c r="D43" s="202">
        <v>0</v>
      </c>
      <c r="E43" s="159">
        <f>IF(D43=0,0,C43/D43)</f>
        <v>0</v>
      </c>
      <c r="F43" s="159"/>
      <c r="G43" s="159"/>
      <c r="H43" s="159"/>
      <c r="I43" s="159"/>
      <c r="J43" s="159"/>
      <c r="K43" s="159"/>
      <c r="L43" s="159"/>
      <c r="M43" s="159">
        <f>IF(B43="Diesel",E43*LCI!$H$48,IF(B43="Gasoline",E43*LCI!$H$53,0))</f>
        <v>0</v>
      </c>
      <c r="N43" s="159">
        <f>IF(B43="Diesel",E43*LCI!$L$48,IF(B43="Gasoline",E43*LCI!$L$53,0))/1000</f>
        <v>0</v>
      </c>
      <c r="O43" s="159">
        <f>IF(B43="Diesel",E43*LCI!$N$48,IF(B43="Gasoline",E43*LCI!$N$53,0))</f>
        <v>0</v>
      </c>
      <c r="P43" s="159"/>
      <c r="Q43" s="161"/>
      <c r="R43" s="161"/>
      <c r="S43" s="161"/>
    </row>
    <row r="44" spans="1:19" s="199" customFormat="1" ht="15">
      <c r="A44" s="230" t="s">
        <v>248</v>
      </c>
      <c r="B44" s="203" t="s">
        <v>200</v>
      </c>
      <c r="C44" s="44">
        <v>0</v>
      </c>
      <c r="D44" s="44">
        <v>0</v>
      </c>
      <c r="E44" s="159">
        <f>IF(D44=0,0,C44/D44)</f>
        <v>0</v>
      </c>
      <c r="F44" s="159"/>
      <c r="G44" s="159"/>
      <c r="H44" s="160" t="s">
        <v>132</v>
      </c>
      <c r="I44" s="159"/>
      <c r="J44" s="159"/>
      <c r="K44" s="159"/>
      <c r="L44" s="159"/>
      <c r="M44" s="159">
        <f>IF(B44="Diesel",E44*LCI!$H$49,IF(B44="Gasoline",E44*LCI!$H$54,0))</f>
        <v>0</v>
      </c>
      <c r="N44" s="159">
        <f>IF(B44="Diesel",E44*LCI!$L$49,IF(B44="Gasoline",E44*LCI!$L$54,0))</f>
        <v>0</v>
      </c>
      <c r="O44" s="159">
        <f>IF(B44="Diesel",E44*LCI!$N$49,IF(B44="Gasoline",E44*LCI!$N$54,0))</f>
        <v>0</v>
      </c>
      <c r="P44" s="159"/>
      <c r="Q44" s="161"/>
      <c r="R44" s="161"/>
      <c r="S44" s="161"/>
    </row>
    <row r="45" spans="1:19" s="199" customFormat="1" ht="15">
      <c r="A45" s="224"/>
      <c r="B45" s="224"/>
      <c r="E45" s="159"/>
      <c r="F45" s="159"/>
      <c r="G45" s="159"/>
      <c r="H45" s="160" t="s">
        <v>439</v>
      </c>
      <c r="I45" s="159"/>
      <c r="J45" s="159"/>
      <c r="K45" s="159"/>
      <c r="L45" s="159"/>
      <c r="M45" s="159"/>
      <c r="N45" s="159"/>
      <c r="O45" s="159"/>
      <c r="P45" s="159"/>
      <c r="Q45" s="161"/>
      <c r="R45" s="161"/>
      <c r="S45" s="161"/>
    </row>
    <row r="46" spans="1:19" s="199" customFormat="1" ht="15" hidden="1">
      <c r="A46" s="224" t="s">
        <v>500</v>
      </c>
      <c r="B46" s="216"/>
      <c r="C46" s="201" t="s">
        <v>121</v>
      </c>
      <c r="D46" s="201" t="s">
        <v>54</v>
      </c>
      <c r="E46" s="159"/>
      <c r="F46" s="159"/>
      <c r="G46" s="159"/>
      <c r="H46" s="160" t="s">
        <v>257</v>
      </c>
      <c r="I46" s="159"/>
      <c r="J46" s="159"/>
      <c r="K46" s="159"/>
      <c r="L46" s="159"/>
      <c r="M46" s="159"/>
      <c r="N46" s="159"/>
      <c r="O46" s="159"/>
      <c r="P46" s="159"/>
      <c r="Q46" s="161"/>
      <c r="R46" s="161"/>
      <c r="S46" s="161"/>
    </row>
    <row r="47" spans="1:19" s="199" customFormat="1" ht="15" hidden="1">
      <c r="A47" s="230" t="s">
        <v>492</v>
      </c>
      <c r="B47" s="47" t="s">
        <v>200</v>
      </c>
      <c r="C47" s="44">
        <v>0</v>
      </c>
      <c r="D47" s="44">
        <v>0</v>
      </c>
      <c r="E47" s="159">
        <f>IF(D47=0,0,C47/D47)</f>
        <v>0</v>
      </c>
      <c r="F47" s="159" t="s">
        <v>262</v>
      </c>
      <c r="G47" s="159"/>
      <c r="H47" s="160" t="s">
        <v>423</v>
      </c>
      <c r="I47" s="159"/>
      <c r="J47" s="159"/>
      <c r="K47" s="159"/>
      <c r="L47" s="159"/>
      <c r="M47" s="159">
        <f>IF(B47="Diesel",E47*LCI!$H$48,IF(B47="Gasoline",E47*LCI!$H$53,0))</f>
        <v>0</v>
      </c>
      <c r="N47" s="159">
        <f>IF(B47="Diesel",E47*LCI!$L$48,IF(B47="Gasoline",E47*LCI!$L$53,0))</f>
        <v>0</v>
      </c>
      <c r="O47" s="159">
        <f>IF(B47="Diesel",E47*LCI!$N$48,IF(B47="Gasoline",E47*LCI!$N$53,0))</f>
        <v>0</v>
      </c>
      <c r="P47" s="159"/>
      <c r="Q47" s="161"/>
      <c r="R47" s="161"/>
      <c r="S47" s="161"/>
    </row>
    <row r="48" spans="1:19" s="199" customFormat="1" ht="15" hidden="1">
      <c r="A48" s="230" t="s">
        <v>249</v>
      </c>
      <c r="B48" s="47" t="s">
        <v>286</v>
      </c>
      <c r="C48" s="44">
        <v>0</v>
      </c>
      <c r="D48" s="44">
        <v>0</v>
      </c>
      <c r="E48" s="159">
        <f>IF(D48=0,0,C48/D48)</f>
        <v>0</v>
      </c>
      <c r="F48" s="159"/>
      <c r="G48" s="159"/>
      <c r="H48" s="160"/>
      <c r="I48" s="159"/>
      <c r="J48" s="159"/>
      <c r="K48" s="159"/>
      <c r="L48" s="159"/>
      <c r="M48" s="159">
        <f>IF(B48="Diesel",E48*LCI!$H$49,IF(B48="Gasoline",E48*LCI!$H$54,0))</f>
        <v>0</v>
      </c>
      <c r="N48" s="159">
        <f>IF(B48="Diesel",E48*LCI!$L$49,IF(B48="Gasoline",E48*LCI!$L$54,0))</f>
        <v>0</v>
      </c>
      <c r="O48" s="159">
        <f>IF(B48="Diesel",E48*LCI!$N$49,IF(B48="Gasoline",E48*LCI!$N$54,0))</f>
        <v>0</v>
      </c>
      <c r="P48" s="159"/>
      <c r="Q48" s="161"/>
      <c r="R48" s="161"/>
      <c r="S48" s="161"/>
    </row>
    <row r="49" spans="1:19" s="199" customFormat="1" ht="18.75" hidden="1">
      <c r="A49" s="153"/>
      <c r="B49" s="231"/>
      <c r="E49" s="159"/>
      <c r="F49" s="159"/>
      <c r="G49" s="159"/>
      <c r="H49" s="160" t="s">
        <v>250</v>
      </c>
      <c r="I49" s="159"/>
      <c r="J49" s="159"/>
      <c r="K49" s="159"/>
      <c r="L49" s="159"/>
      <c r="M49" s="159">
        <f>SUM(M39:M48)</f>
        <v>55902.00945908858</v>
      </c>
      <c r="N49" s="159">
        <f>SUM(N39:N48)</f>
        <v>71182.93316506661</v>
      </c>
      <c r="O49" s="159">
        <f>SUM(O39:O48)</f>
        <v>1598.578428237669</v>
      </c>
      <c r="P49" s="159"/>
      <c r="Q49" s="161"/>
      <c r="R49" s="161"/>
      <c r="S49" s="161"/>
    </row>
    <row r="50" spans="1:19" s="199" customFormat="1" ht="37.5" hidden="1">
      <c r="A50" s="162" t="s">
        <v>457</v>
      </c>
      <c r="B50" s="154" t="s">
        <v>269</v>
      </c>
      <c r="C50" s="154" t="s">
        <v>385</v>
      </c>
      <c r="E50" s="159"/>
      <c r="F50" s="159"/>
      <c r="G50" s="159"/>
      <c r="H50" s="160" t="s">
        <v>286</v>
      </c>
      <c r="I50" s="159"/>
      <c r="J50" s="159"/>
      <c r="K50" s="159"/>
      <c r="L50" s="159"/>
      <c r="M50" s="159"/>
      <c r="N50" s="159"/>
      <c r="O50" s="159"/>
      <c r="P50" s="159"/>
      <c r="Q50" s="161"/>
      <c r="R50" s="161"/>
      <c r="S50" s="161"/>
    </row>
    <row r="51" spans="1:19" s="199" customFormat="1" ht="15" hidden="1">
      <c r="A51" s="230" t="s">
        <v>492</v>
      </c>
      <c r="B51" s="214" t="s">
        <v>286</v>
      </c>
      <c r="C51" s="44">
        <v>5000</v>
      </c>
      <c r="D51" s="199" t="s">
        <v>66</v>
      </c>
      <c r="E51" s="159"/>
      <c r="F51" s="159"/>
      <c r="G51" s="159"/>
      <c r="H51" s="160" t="s">
        <v>200</v>
      </c>
      <c r="I51" s="159"/>
      <c r="J51" s="159"/>
      <c r="K51" s="159"/>
      <c r="L51" s="159"/>
      <c r="M51" s="159">
        <f>IF(B51="Diesel",C51*LCI!$H$48,IF(B51="Gasoline",C51*LCI!$H$53,0))</f>
        <v>62079.79257293686</v>
      </c>
      <c r="N51" s="159">
        <f>IF(B51="Diesel",C51*LCI!$L$48,IF(B51="Gasoline",C51*LCI!$L$53,0))</f>
        <v>78981.47041898062</v>
      </c>
      <c r="O51" s="159">
        <f>IF(B51="Diesel",C51*LCI!$N$48,IF(B51="Gasoline",C51*LCI!$N$53,0))</f>
        <v>2052.3411173941777</v>
      </c>
      <c r="P51" s="159"/>
      <c r="Q51" s="161"/>
      <c r="R51" s="161"/>
      <c r="S51" s="161"/>
    </row>
    <row r="52" spans="1:19" s="199" customFormat="1" ht="15" hidden="1">
      <c r="A52" s="230" t="s">
        <v>492</v>
      </c>
      <c r="B52" s="214" t="s">
        <v>286</v>
      </c>
      <c r="C52" s="44">
        <v>0</v>
      </c>
      <c r="D52" s="199" t="s">
        <v>66</v>
      </c>
      <c r="E52" s="159"/>
      <c r="F52" s="159"/>
      <c r="G52" s="159"/>
      <c r="H52" s="160"/>
      <c r="I52" s="159"/>
      <c r="J52" s="159"/>
      <c r="K52" s="159"/>
      <c r="L52" s="159"/>
      <c r="M52" s="159">
        <f>IF(B52="Diesel",C52*LCI!$H$48,IF(B52="Gasoline",C52*LCI!$H$53,0))</f>
        <v>0</v>
      </c>
      <c r="N52" s="159">
        <f>IF(B52="Diesel",C52*LCI!$L$48,IF(B52="Gasoline",C52*LCI!$L$53,0))</f>
        <v>0</v>
      </c>
      <c r="O52" s="159">
        <f>IF(B52="Diesel",C52*LCI!$N$48,IF(B52="Gasoline",C52*LCI!$N$53,0))</f>
        <v>0</v>
      </c>
      <c r="P52" s="159"/>
      <c r="Q52" s="161"/>
      <c r="R52" s="161"/>
      <c r="S52" s="161"/>
    </row>
    <row r="53" spans="1:19" s="199" customFormat="1" ht="15" hidden="1">
      <c r="A53" s="230" t="s">
        <v>249</v>
      </c>
      <c r="B53" s="214" t="s">
        <v>200</v>
      </c>
      <c r="C53" s="44">
        <v>0</v>
      </c>
      <c r="D53" s="199" t="s">
        <v>66</v>
      </c>
      <c r="E53" s="159"/>
      <c r="F53" s="159"/>
      <c r="G53" s="159"/>
      <c r="H53" s="160" t="s">
        <v>381</v>
      </c>
      <c r="I53" s="159"/>
      <c r="J53" s="159"/>
      <c r="K53" s="159"/>
      <c r="L53" s="159"/>
      <c r="M53" s="159">
        <f>IF(B53="Diesel",C53*LCI!$H$49,IF(B53="Gasoline",C53*LCI!$H$54,0))</f>
        <v>0</v>
      </c>
      <c r="N53" s="159">
        <f>IF(B53="Diesel",C53*LCI!$L$49,IF(B53="Gasoline",C53*LCI!$L$54,0))</f>
        <v>0</v>
      </c>
      <c r="O53" s="159">
        <f>IF(B53="Diesel",C53*LCI!$N$49,IF(B53="Gasoline",C53*LCI!$N$54,0))</f>
        <v>0</v>
      </c>
      <c r="P53" s="159"/>
      <c r="Q53" s="161"/>
      <c r="R53" s="161"/>
      <c r="S53" s="161"/>
    </row>
    <row r="54" spans="1:19" s="199" customFormat="1" ht="15" hidden="1">
      <c r="A54" s="230" t="s">
        <v>248</v>
      </c>
      <c r="B54" s="214" t="s">
        <v>286</v>
      </c>
      <c r="C54" s="44">
        <v>1816</v>
      </c>
      <c r="D54" s="199" t="s">
        <v>66</v>
      </c>
      <c r="E54" s="159"/>
      <c r="F54" s="159" t="s">
        <v>270</v>
      </c>
      <c r="G54" s="159"/>
      <c r="H54" s="159" t="s">
        <v>229</v>
      </c>
      <c r="I54" s="159"/>
      <c r="J54" s="159"/>
      <c r="K54" s="159"/>
      <c r="L54" s="159"/>
      <c r="M54" s="159">
        <f>IF(B54="Diesel",C54*LCI!$H$49,IF(B54="Gasoline",C54*LCI!$H$54,0))</f>
        <v>22574.798760739093</v>
      </c>
      <c r="N54" s="159">
        <f>IF(B54="Diesel",C54*LCI!$L$49,IF(B54="Gasoline",C54*LCI!$L$54,0))</f>
        <v>28776.51574366328</v>
      </c>
      <c r="O54" s="159">
        <f>IF(B54="Diesel",C54*LCI!$N$49,IF(B54="Gasoline",C54*LCI!$N$54,0))</f>
        <v>519.7463455428466</v>
      </c>
      <c r="P54" s="159"/>
      <c r="Q54" s="161"/>
      <c r="R54" s="161"/>
      <c r="S54" s="161"/>
    </row>
    <row r="55" spans="1:19" s="199" customFormat="1" ht="15" hidden="1">
      <c r="A55" s="232"/>
      <c r="B55" s="147"/>
      <c r="E55" s="159"/>
      <c r="F55" s="159" t="s">
        <v>200</v>
      </c>
      <c r="G55" s="159" t="s">
        <v>382</v>
      </c>
      <c r="H55" s="160" t="s">
        <v>228</v>
      </c>
      <c r="I55" s="159"/>
      <c r="J55" s="159"/>
      <c r="K55" s="159"/>
      <c r="L55" s="159"/>
      <c r="M55" s="159">
        <f>SUM(M51:M54)</f>
        <v>84654.59133367595</v>
      </c>
      <c r="N55" s="159">
        <f>SUM(N51:N54)</f>
        <v>107757.98616264391</v>
      </c>
      <c r="O55" s="159">
        <f>SUM(O51:O54)</f>
        <v>2572.087462937024</v>
      </c>
      <c r="P55" s="159"/>
      <c r="Q55" s="161"/>
      <c r="R55" s="161"/>
      <c r="S55" s="161"/>
    </row>
    <row r="56" spans="1:19" s="199" customFormat="1" ht="18.75" hidden="1">
      <c r="A56" s="233" t="s">
        <v>458</v>
      </c>
      <c r="B56" s="163"/>
      <c r="C56" s="154" t="s">
        <v>385</v>
      </c>
      <c r="E56" s="159"/>
      <c r="F56" s="159" t="s">
        <v>201</v>
      </c>
      <c r="G56" s="159" t="s">
        <v>122</v>
      </c>
      <c r="H56" s="159" t="s">
        <v>268</v>
      </c>
      <c r="I56" s="159"/>
      <c r="J56" s="159"/>
      <c r="K56" s="159"/>
      <c r="L56" s="159"/>
      <c r="M56" s="159"/>
      <c r="N56" s="159"/>
      <c r="O56" s="159"/>
      <c r="P56" s="159"/>
      <c r="Q56" s="161"/>
      <c r="R56" s="161"/>
      <c r="S56" s="161"/>
    </row>
    <row r="57" spans="1:19" s="199" customFormat="1" ht="15" hidden="1">
      <c r="A57" s="234"/>
      <c r="B57" s="235" t="s">
        <v>200</v>
      </c>
      <c r="C57" s="215"/>
      <c r="D57" s="161" t="s">
        <v>452</v>
      </c>
      <c r="E57" s="159"/>
      <c r="F57" s="159" t="s">
        <v>424</v>
      </c>
      <c r="G57" s="159" t="s">
        <v>123</v>
      </c>
      <c r="H57" s="159"/>
      <c r="I57" s="159"/>
      <c r="J57" s="159"/>
      <c r="K57" s="159"/>
      <c r="L57" s="159"/>
      <c r="M57" s="159">
        <f>C57*LCI!$H$53</f>
        <v>0</v>
      </c>
      <c r="N57" s="159">
        <f>C57*LCI!$L$53</f>
        <v>0</v>
      </c>
      <c r="O57" s="159">
        <f>C57*LCI!$N$53</f>
        <v>0</v>
      </c>
      <c r="P57" s="159"/>
      <c r="Q57" s="161"/>
      <c r="R57" s="161"/>
      <c r="S57" s="161"/>
    </row>
    <row r="58" spans="1:19" s="199" customFormat="1" ht="15" hidden="1">
      <c r="A58" s="234"/>
      <c r="B58" s="235" t="s">
        <v>286</v>
      </c>
      <c r="C58" s="215"/>
      <c r="D58" s="161" t="s">
        <v>452</v>
      </c>
      <c r="E58" s="159"/>
      <c r="F58" s="159" t="s">
        <v>425</v>
      </c>
      <c r="G58" s="159" t="s">
        <v>426</v>
      </c>
      <c r="H58" s="159"/>
      <c r="I58" s="159"/>
      <c r="J58" s="159"/>
      <c r="K58" s="159"/>
      <c r="L58" s="159"/>
      <c r="M58" s="159">
        <f>C58*LCI!$H$48</f>
        <v>0</v>
      </c>
      <c r="N58" s="159">
        <f>C58*LCI!$L$48</f>
        <v>0</v>
      </c>
      <c r="O58" s="159">
        <f>C58*LCI!$N$48</f>
        <v>0</v>
      </c>
      <c r="P58" s="159"/>
      <c r="Q58" s="161"/>
      <c r="R58" s="161"/>
      <c r="S58" s="161"/>
    </row>
    <row r="59" spans="2:19" s="199" customFormat="1" ht="15">
      <c r="B59" s="232"/>
      <c r="E59" s="159"/>
      <c r="F59" s="159" t="s">
        <v>185</v>
      </c>
      <c r="G59" s="159" t="s">
        <v>382</v>
      </c>
      <c r="H59" s="159"/>
      <c r="I59" s="159"/>
      <c r="J59" s="159"/>
      <c r="K59" s="159"/>
      <c r="L59" s="159"/>
      <c r="M59" s="159">
        <f>SUM(M57:M58)</f>
        <v>0</v>
      </c>
      <c r="N59" s="159">
        <f>SUM(N57:N58)</f>
        <v>0</v>
      </c>
      <c r="O59" s="159">
        <f>SUM(O57:O58)</f>
        <v>0</v>
      </c>
      <c r="P59" s="159"/>
      <c r="Q59" s="161"/>
      <c r="R59" s="161"/>
      <c r="S59" s="161"/>
    </row>
    <row r="60" spans="5:19" s="199" customFormat="1" ht="15"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</row>
    <row r="61" spans="1:19" s="165" customFormat="1" ht="18.75">
      <c r="A61" s="164" t="s">
        <v>489</v>
      </c>
      <c r="E61" s="166"/>
      <c r="F61" s="166" t="s">
        <v>270</v>
      </c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</row>
    <row r="62" spans="1:2" s="199" customFormat="1" ht="15.75" hidden="1">
      <c r="A62" s="197"/>
      <c r="B62" s="198"/>
    </row>
    <row r="63" spans="1:2" s="199" customFormat="1" ht="15" hidden="1">
      <c r="A63" s="200"/>
      <c r="B63" s="201"/>
    </row>
    <row r="64" spans="1:2" s="199" customFormat="1" ht="15" hidden="1">
      <c r="A64" s="200"/>
      <c r="B64" s="201"/>
    </row>
    <row r="65" spans="1:2" s="199" customFormat="1" ht="15" hidden="1">
      <c r="A65" s="200"/>
      <c r="B65" s="201"/>
    </row>
    <row r="66" spans="1:2" s="199" customFormat="1" ht="15" hidden="1">
      <c r="A66" s="200"/>
      <c r="B66" s="201"/>
    </row>
    <row r="68" spans="1:15" ht="15.75">
      <c r="A68" s="43" t="s">
        <v>316</v>
      </c>
      <c r="B68" s="154" t="s">
        <v>385</v>
      </c>
      <c r="E68" s="159" t="s">
        <v>201</v>
      </c>
      <c r="F68" s="159"/>
      <c r="G68" s="159"/>
      <c r="H68" s="159"/>
      <c r="I68" s="159"/>
      <c r="J68" s="159"/>
      <c r="K68" s="159"/>
      <c r="L68" s="159"/>
      <c r="M68" s="159" t="s">
        <v>185</v>
      </c>
      <c r="N68" s="159" t="s">
        <v>498</v>
      </c>
      <c r="O68" s="159" t="s">
        <v>499</v>
      </c>
    </row>
    <row r="69" spans="1:15" ht="15">
      <c r="A69" s="240" t="s">
        <v>201</v>
      </c>
      <c r="B69" s="237"/>
      <c r="C69" s="144" t="str">
        <f>IF(ISNUMBER(SEARCH("Gasoline",A69)),$G$55,IF(ISNUMBER(SEARCH("Electricity",A69)),$G$56,IF(ISNUMBER(SEARCH("Natural Gas in Therms",A69)),$G$57,IF(ISNUMBER(SEARCH("Natural Gas in 1,000 cubic feet (MCF)",A69)),$G$58,IF(ISNUMBER(SEARCH("Propane",A69)),$G$59,0)))))</f>
        <v>kWh</v>
      </c>
      <c r="E69" s="159">
        <f>IF(A69="Electricity",B69,0)</f>
        <v>0</v>
      </c>
      <c r="F69" s="159"/>
      <c r="G69" s="159"/>
      <c r="H69" s="159"/>
      <c r="I69" s="159"/>
      <c r="J69" s="159"/>
      <c r="K69" s="159"/>
      <c r="L69" s="159"/>
      <c r="M69" s="159">
        <f>IF(A69="Propane",B69,0)</f>
        <v>0</v>
      </c>
      <c r="N69" s="159">
        <f>IF(A69="Natural Gas in Therms",B69,0)</f>
        <v>0</v>
      </c>
      <c r="O69" s="159">
        <f>IF(A69="Natural Gas in 1,000 cubic feet (MCF)",B69,0)</f>
        <v>0</v>
      </c>
    </row>
    <row r="70" spans="1:15" ht="15">
      <c r="A70" s="240" t="s">
        <v>185</v>
      </c>
      <c r="B70" s="238"/>
      <c r="C70" s="144" t="str">
        <f>IF(ISNUMBER(SEARCH("Gasoline",A70)),$G$55,IF(ISNUMBER(SEARCH("Electricity",A70)),$G$56,IF(ISNUMBER(SEARCH("Natural Gas in Therms",A70)),$G$57,IF(ISNUMBER(SEARCH("Natural Gas in 1,000 cubic feet (MCF)",A70)),$G$58,IF(ISNUMBER(SEARCH("Propane",A70)),$G$59,0)))))</f>
        <v>Gallon</v>
      </c>
      <c r="E70" s="159">
        <f>IF(A70="Electricity",B70,0)</f>
        <v>0</v>
      </c>
      <c r="F70" s="159"/>
      <c r="G70" s="159"/>
      <c r="H70" s="159"/>
      <c r="I70" s="159"/>
      <c r="J70" s="159"/>
      <c r="K70" s="159"/>
      <c r="L70" s="159"/>
      <c r="M70" s="159">
        <f>IF(A70="Propane",B70,0)</f>
        <v>0</v>
      </c>
      <c r="N70" s="159">
        <f>IF(A70="Natural Gas in Therms",B70,0)</f>
        <v>0</v>
      </c>
      <c r="O70" s="159">
        <f>IF(A70="Natural Gas in 1,000 cubic feet (MCF)",B70,0)</f>
        <v>0</v>
      </c>
    </row>
    <row r="71" spans="1:15" ht="15">
      <c r="A71" s="240" t="s">
        <v>424</v>
      </c>
      <c r="B71" s="238"/>
      <c r="C71" s="144" t="str">
        <f>IF(ISNUMBER(SEARCH("Gasoline",A71)),$G$55,IF(ISNUMBER(SEARCH("Electricity",A71)),$G$56,IF(ISNUMBER(SEARCH("Natural Gas in Therms",A71)),$G$57,IF(ISNUMBER(SEARCH("Natural Gas in 1,000 cubic feet (MCF)",A71)),$G$58,IF(ISNUMBER(SEARCH("Propane",A71)),$G$59,0)))))</f>
        <v>Therms</v>
      </c>
      <c r="E71" s="159">
        <f>IF(A71="Electricity",B71,0)</f>
        <v>0</v>
      </c>
      <c r="F71" s="159"/>
      <c r="G71" s="159"/>
      <c r="H71" s="159"/>
      <c r="I71" s="159"/>
      <c r="J71" s="159"/>
      <c r="K71" s="159"/>
      <c r="L71" s="159"/>
      <c r="M71" s="159">
        <f>IF(A71="Propane",B71,0)</f>
        <v>0</v>
      </c>
      <c r="N71" s="159">
        <f>IF(A71="Natural Gas in Therms",B71,0)</f>
        <v>0</v>
      </c>
      <c r="O71" s="159">
        <f>IF(A71="Natural Gas in 1,000 cubic feet (MCF)",B71,0)</f>
        <v>0</v>
      </c>
    </row>
    <row r="72" spans="1:15" ht="15">
      <c r="A72" s="240" t="s">
        <v>425</v>
      </c>
      <c r="B72" s="238"/>
      <c r="C72" s="144" t="str">
        <f>IF(ISNUMBER(SEARCH("Gasoline",A72)),$G$55,IF(ISNUMBER(SEARCH("Electricity",A72)),$G$56,IF(ISNUMBER(SEARCH("Natural Gas in Therms",A72)),$G$57,IF(ISNUMBER(SEARCH("Natural Gas in 1,000 cubic feet (MCF)",A72)),$G$58,IF(ISNUMBER(SEARCH("Propane",A72)),$G$59,0)))))</f>
        <v>MCF</v>
      </c>
      <c r="E72" s="159">
        <f>IF(A72="Electricity",B72,0)</f>
        <v>0</v>
      </c>
      <c r="F72" s="159"/>
      <c r="G72" s="159"/>
      <c r="H72" s="159"/>
      <c r="I72" s="159"/>
      <c r="J72" s="159"/>
      <c r="K72" s="159"/>
      <c r="L72" s="159"/>
      <c r="M72" s="159">
        <f>IF(A72="Propane",B72,0)</f>
        <v>0</v>
      </c>
      <c r="N72" s="159">
        <f>IF(A72="Natural Gas in Therms",B72,0)</f>
        <v>0</v>
      </c>
      <c r="O72" s="159">
        <f>IF(A72="Natural Gas in 1,000 cubic feet (MCF)",B72,0)</f>
        <v>0</v>
      </c>
    </row>
    <row r="73" spans="5:15" ht="15">
      <c r="E73" s="159">
        <f>SUM(E69:E72)</f>
        <v>0</v>
      </c>
      <c r="F73" s="159"/>
      <c r="G73" s="159"/>
      <c r="H73" s="159"/>
      <c r="I73" s="159"/>
      <c r="J73" s="159"/>
      <c r="K73" s="159"/>
      <c r="L73" s="159"/>
      <c r="M73" s="159">
        <f>SUM(M69:M72)</f>
        <v>0</v>
      </c>
      <c r="N73" s="159">
        <f>SUM(N69:N72)</f>
        <v>0</v>
      </c>
      <c r="O73" s="159">
        <f>SUM(O69:O72)</f>
        <v>0</v>
      </c>
    </row>
  </sheetData>
  <sheetProtection password="C442" sheet="1" formatRows="0" selectLockedCells="1"/>
  <dataValidations count="8">
    <dataValidation type="list" allowBlank="1" showInputMessage="1" showErrorMessage="1" sqref="A19">
      <formula1>$F$6:$F$11</formula1>
    </dataValidation>
    <dataValidation allowBlank="1" showInputMessage="1" showErrorMessage="1" promptTitle="Yes of No" prompt="Y&#10;N" sqref="A7"/>
    <dataValidation allowBlank="1" showInputMessage="1" showErrorMessage="1" promptTitle="activitiy" sqref="D3:D6"/>
    <dataValidation type="list" allowBlank="1" showInputMessage="1" showErrorMessage="1" sqref="A45:B45">
      <formula1>$G$32:$G$34</formula1>
    </dataValidation>
    <dataValidation type="list" allowBlank="1" showInputMessage="1" showErrorMessage="1" sqref="A13:A18">
      <formula1>$F$5:$F$11</formula1>
    </dataValidation>
    <dataValidation type="list" allowBlank="1" showInputMessage="1" showErrorMessage="1" sqref="B39:B40 B43:B44 B47:B48 B51:B55">
      <formula1>$H$49:$H$51</formula1>
    </dataValidation>
    <dataValidation type="list" allowBlank="1" showInputMessage="1" showErrorMessage="1" sqref="A21:A32">
      <formula1>$J$5:$J$17</formula1>
    </dataValidation>
    <dataValidation type="list" allowBlank="1" showInputMessage="1" showErrorMessage="1" sqref="A63:A66">
      <formula1>$F$54:$F$59</formula1>
    </dataValidation>
  </dataValidations>
  <printOptions/>
  <pageMargins left="0.75" right="0.75" top="1" bottom="1" header="0.5" footer="0.5"/>
  <pageSetup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76"/>
  <sheetViews>
    <sheetView zoomScalePageLayoutView="0" workbookViewId="0" topLeftCell="A1">
      <pane xSplit="2" ySplit="7" topLeftCell="C8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C55" sqref="C55:F55"/>
    </sheetView>
  </sheetViews>
  <sheetFormatPr defaultColWidth="11.421875" defaultRowHeight="15"/>
  <cols>
    <col min="1" max="1" width="62.421875" style="23" customWidth="1"/>
    <col min="2" max="2" width="0.5625" style="23" customWidth="1"/>
    <col min="3" max="3" width="32.8515625" style="23" customWidth="1"/>
    <col min="4" max="4" width="23.7109375" style="23" customWidth="1"/>
    <col min="5" max="5" width="25.7109375" style="23" customWidth="1"/>
    <col min="6" max="6" width="38.7109375" style="23" customWidth="1"/>
    <col min="7" max="16384" width="11.421875" style="23" customWidth="1"/>
  </cols>
  <sheetData>
    <row r="1" ht="18.75">
      <c r="A1" s="56" t="s">
        <v>422</v>
      </c>
    </row>
    <row r="2" ht="15">
      <c r="A2" s="42"/>
    </row>
    <row r="3" ht="37.5">
      <c r="A3" s="98" t="s">
        <v>85</v>
      </c>
    </row>
    <row r="4" ht="56.25">
      <c r="A4" s="98" t="s">
        <v>224</v>
      </c>
    </row>
    <row r="5" ht="126" customHeight="1">
      <c r="A5" s="42"/>
    </row>
    <row r="6" spans="1:3" ht="15.75" customHeight="1">
      <c r="A6" s="23" t="s">
        <v>472</v>
      </c>
      <c r="C6" s="40" t="s">
        <v>225</v>
      </c>
    </row>
    <row r="7" spans="1:6" s="65" customFormat="1" ht="39">
      <c r="A7" s="83"/>
      <c r="B7" s="82"/>
      <c r="C7" s="104" t="s">
        <v>484</v>
      </c>
      <c r="D7" s="104" t="s">
        <v>481</v>
      </c>
      <c r="E7" s="104" t="s">
        <v>482</v>
      </c>
      <c r="F7" s="104" t="s">
        <v>483</v>
      </c>
    </row>
    <row r="8" ht="15.75">
      <c r="A8" s="78" t="s">
        <v>463</v>
      </c>
    </row>
    <row r="9" spans="1:6" ht="15">
      <c r="A9" s="73" t="s">
        <v>188</v>
      </c>
      <c r="C9" s="74">
        <f>'Hive Management'!I4+'Hive Management'!J4</f>
        <v>0</v>
      </c>
      <c r="D9" s="75">
        <f>('Hive Management'!M4)</f>
        <v>0</v>
      </c>
      <c r="E9" s="75">
        <f>('Hive Management'!O4)</f>
        <v>0</v>
      </c>
      <c r="F9" s="75">
        <f aca="true" t="shared" si="0" ref="F9:F14">C9+D9/1000*25+E9/1000*298</f>
        <v>0</v>
      </c>
    </row>
    <row r="10" spans="1:6" ht="15">
      <c r="A10" s="73" t="s">
        <v>359</v>
      </c>
      <c r="C10" s="74">
        <f>'Hive Management'!I5+'Hive Management'!J5</f>
        <v>0</v>
      </c>
      <c r="D10" s="75">
        <f>('Hive Management'!M5)</f>
        <v>0</v>
      </c>
      <c r="E10" s="75">
        <f>('Hive Management'!O5)</f>
        <v>0</v>
      </c>
      <c r="F10" s="75">
        <f t="shared" si="0"/>
        <v>0</v>
      </c>
    </row>
    <row r="11" spans="1:6" ht="15">
      <c r="A11" s="73" t="s">
        <v>190</v>
      </c>
      <c r="C11" s="74">
        <f>'Hive Management'!I6+'Hive Management'!J6</f>
        <v>0</v>
      </c>
      <c r="D11" s="75">
        <f>('Hive Management'!M6)</f>
        <v>0</v>
      </c>
      <c r="E11" s="75">
        <f>('Hive Management'!O6)</f>
        <v>0</v>
      </c>
      <c r="F11" s="75">
        <f t="shared" si="0"/>
        <v>0</v>
      </c>
    </row>
    <row r="12" spans="1:6" ht="15">
      <c r="A12" s="73" t="s">
        <v>282</v>
      </c>
      <c r="C12" s="74">
        <f>'Hive Management'!I7+'Hive Management'!J7</f>
        <v>0</v>
      </c>
      <c r="D12" s="75">
        <f>('Hive Management'!M7)</f>
        <v>0</v>
      </c>
      <c r="E12" s="75">
        <f>('Hive Management'!O7)</f>
        <v>0</v>
      </c>
      <c r="F12" s="75">
        <f t="shared" si="0"/>
        <v>0</v>
      </c>
    </row>
    <row r="13" spans="1:6" ht="15">
      <c r="A13" s="73" t="s">
        <v>21</v>
      </c>
      <c r="C13" s="74">
        <f>'Hive Management'!I8+'Hive Management'!J8</f>
        <v>0</v>
      </c>
      <c r="D13" s="75">
        <f>('Hive Management'!M8)</f>
        <v>0</v>
      </c>
      <c r="E13" s="75">
        <f>('Hive Management'!O8)</f>
        <v>0</v>
      </c>
      <c r="F13" s="75">
        <f t="shared" si="0"/>
        <v>0</v>
      </c>
    </row>
    <row r="14" spans="1:6" ht="15">
      <c r="A14" s="73" t="s">
        <v>238</v>
      </c>
      <c r="C14" s="74">
        <f>'Hive Management'!I9+'Hive Management'!J9</f>
        <v>0</v>
      </c>
      <c r="D14" s="75">
        <f>('Hive Management'!M9)</f>
        <v>0</v>
      </c>
      <c r="E14" s="75">
        <f>('Hive Management'!O9)</f>
        <v>0</v>
      </c>
      <c r="F14" s="75">
        <f t="shared" si="0"/>
        <v>0</v>
      </c>
    </row>
    <row r="15" spans="1:6" s="50" customFormat="1" ht="15.75">
      <c r="A15" s="78" t="s">
        <v>449</v>
      </c>
      <c r="C15" s="76">
        <f>SUM(C9:C14)</f>
        <v>0</v>
      </c>
      <c r="D15" s="77">
        <f>SUM(D9:D14)</f>
        <v>0</v>
      </c>
      <c r="E15" s="77">
        <f>SUM(E9:E14)</f>
        <v>0</v>
      </c>
      <c r="F15" s="77">
        <f>SUM(F9:F14)</f>
        <v>0</v>
      </c>
    </row>
    <row r="16" ht="15">
      <c r="A16" s="73"/>
    </row>
    <row r="17" spans="1:6" ht="15.75">
      <c r="A17" s="78" t="s">
        <v>464</v>
      </c>
      <c r="C17" s="60"/>
      <c r="D17" s="60"/>
      <c r="E17" s="60"/>
      <c r="F17" s="60"/>
    </row>
    <row r="18" spans="1:6" ht="15">
      <c r="A18" s="79" t="s">
        <v>218</v>
      </c>
      <c r="C18" s="75">
        <f>('Hive Management'!I16+'Hive Management'!J16+'Hive Management'!I17+'Hive Management'!J17)</f>
        <v>0</v>
      </c>
      <c r="D18" s="75">
        <f>('Hive Management'!M16+'Hive Management'!M17)</f>
        <v>0</v>
      </c>
      <c r="E18" s="75">
        <f>('Hive Management'!O16+'Hive Management'!O17)</f>
        <v>0</v>
      </c>
      <c r="F18" s="75">
        <f aca="true" t="shared" si="1" ref="F18:F29">C18+D18/1000*25+E18/1000*298</f>
        <v>0</v>
      </c>
    </row>
    <row r="19" spans="1:6" ht="15">
      <c r="A19" s="79" t="s">
        <v>23</v>
      </c>
      <c r="C19" s="75">
        <f>('Hive Management'!I19+'Hive Management'!J19+'Hive Management'!I18+'Hive Management'!J18)</f>
        <v>0</v>
      </c>
      <c r="D19" s="75">
        <f>('Hive Management'!M19+'Hive Management'!M18)</f>
        <v>0</v>
      </c>
      <c r="E19" s="75">
        <f>('Hive Management'!O19+'Hive Management'!O18)</f>
        <v>0</v>
      </c>
      <c r="F19" s="75">
        <f t="shared" si="1"/>
        <v>0</v>
      </c>
    </row>
    <row r="20" spans="1:6" ht="15">
      <c r="A20" s="79" t="s">
        <v>180</v>
      </c>
      <c r="C20" s="75">
        <f>('Hive Management'!I20+'Hive Management'!J20+'Hive Management'!I21+'Hive Management'!J21)</f>
        <v>0</v>
      </c>
      <c r="D20" s="75">
        <f>('Hive Management'!M20+'Hive Management'!M21)</f>
        <v>0</v>
      </c>
      <c r="E20" s="75">
        <f>('Hive Management'!O20+'Hive Management'!O21)</f>
        <v>0</v>
      </c>
      <c r="F20" s="75">
        <f t="shared" si="1"/>
        <v>0</v>
      </c>
    </row>
    <row r="21" spans="1:6" ht="15">
      <c r="A21" s="80" t="s">
        <v>181</v>
      </c>
      <c r="C21" s="75">
        <f>('Hive Management'!I23+'Hive Management'!J23+'Hive Management'!I22+'Hive Management'!J22)</f>
        <v>0</v>
      </c>
      <c r="D21" s="75">
        <f>('Hive Management'!M22+'Hive Management'!M23)</f>
        <v>0</v>
      </c>
      <c r="E21" s="75">
        <f>('Hive Management'!O22+'Hive Management'!O23)</f>
        <v>0</v>
      </c>
      <c r="F21" s="75">
        <f t="shared" si="1"/>
        <v>0</v>
      </c>
    </row>
    <row r="22" spans="1:6" ht="15">
      <c r="A22" s="79" t="s">
        <v>49</v>
      </c>
      <c r="C22" s="75">
        <f>('Hive Management'!I24+'Hive Management'!J24+'Hive Management'!I25+'Hive Management'!J25)</f>
        <v>0</v>
      </c>
      <c r="D22" s="75">
        <f>('Hive Management'!M24+'Hive Management'!M25)</f>
        <v>0</v>
      </c>
      <c r="E22" s="75">
        <f>('Hive Management'!O24+'Hive Management'!O25)</f>
        <v>0</v>
      </c>
      <c r="F22" s="75">
        <f t="shared" si="1"/>
        <v>0</v>
      </c>
    </row>
    <row r="23" spans="1:6" ht="15">
      <c r="A23" s="79" t="s">
        <v>51</v>
      </c>
      <c r="C23" s="75">
        <f>('Hive Management'!I27+'Hive Management'!J27+'Hive Management'!I26+'Hive Management'!J26)</f>
        <v>0</v>
      </c>
      <c r="D23" s="75">
        <f>('Hive Management'!M27+'Hive Management'!M26)</f>
        <v>0</v>
      </c>
      <c r="E23" s="75">
        <f>('Hive Management'!O27+'Hive Management'!O26)</f>
        <v>0</v>
      </c>
      <c r="F23" s="75">
        <f t="shared" si="1"/>
        <v>0</v>
      </c>
    </row>
    <row r="24" spans="1:6" ht="15">
      <c r="A24" s="80" t="s">
        <v>52</v>
      </c>
      <c r="C24" s="75">
        <f>('Hive Management'!I29+'Hive Management'!J29+'Hive Management'!I28+'Hive Management'!J28)</f>
        <v>0</v>
      </c>
      <c r="D24" s="75">
        <f>('Hive Management'!M29+'Hive Management'!M28)</f>
        <v>0</v>
      </c>
      <c r="E24" s="75">
        <f>('Hive Management'!O29+'Hive Management'!O28)</f>
        <v>0</v>
      </c>
      <c r="F24" s="75">
        <f t="shared" si="1"/>
        <v>0</v>
      </c>
    </row>
    <row r="25" spans="1:6" ht="15">
      <c r="A25" s="79" t="s">
        <v>79</v>
      </c>
      <c r="C25" s="75">
        <f>('Hive Management'!I30+'Hive Management'!J30+'Hive Management'!I31+'Hive Management'!J31)</f>
        <v>0</v>
      </c>
      <c r="D25" s="75">
        <f>('Hive Management'!M30+'Hive Management'!M31)</f>
        <v>0</v>
      </c>
      <c r="E25" s="75">
        <f>('Hive Management'!O30+'Hive Management'!O31)</f>
        <v>0</v>
      </c>
      <c r="F25" s="75">
        <f t="shared" si="1"/>
        <v>0</v>
      </c>
    </row>
    <row r="26" spans="1:6" ht="15">
      <c r="A26" s="73" t="s">
        <v>78</v>
      </c>
      <c r="C26" s="75">
        <f>('Hive Management'!I33+'Hive Management'!J33+'Hive Management'!I32+'Hive Management'!J32)</f>
        <v>0</v>
      </c>
      <c r="D26" s="75">
        <f>('Hive Management'!M33+'Hive Management'!M32)</f>
        <v>0</v>
      </c>
      <c r="E26" s="75">
        <f>('Hive Management'!O33+'Hive Management'!O32)</f>
        <v>0</v>
      </c>
      <c r="F26" s="75">
        <f t="shared" si="1"/>
        <v>0</v>
      </c>
    </row>
    <row r="27" spans="1:6" ht="15">
      <c r="A27" s="73" t="s">
        <v>76</v>
      </c>
      <c r="C27" s="75">
        <f>('Hive Management'!I34+'Hive Management'!J34+'Hive Management'!I35+'Hive Management'!J35)</f>
        <v>0</v>
      </c>
      <c r="D27" s="75">
        <f>('Hive Management'!M34+'Hive Management'!M35)</f>
        <v>0</v>
      </c>
      <c r="E27" s="75">
        <f>('Hive Management'!O34+'Hive Management'!O35)</f>
        <v>0</v>
      </c>
      <c r="F27" s="75">
        <f t="shared" si="1"/>
        <v>0</v>
      </c>
    </row>
    <row r="28" spans="1:6" ht="15">
      <c r="A28" s="81" t="s">
        <v>246</v>
      </c>
      <c r="C28" s="75">
        <f>('Hive Management'!I37+'Hive Management'!J37+'Hive Management'!I36+'Hive Management'!J36)</f>
        <v>0</v>
      </c>
      <c r="D28" s="75">
        <f>('Hive Management'!M37+'Hive Management'!M36)</f>
        <v>0</v>
      </c>
      <c r="E28" s="75">
        <f>('Hive Management'!O37+'Hive Management'!O36)</f>
        <v>0</v>
      </c>
      <c r="F28" s="75">
        <f t="shared" si="1"/>
        <v>0</v>
      </c>
    </row>
    <row r="29" spans="1:6" ht="15">
      <c r="A29" s="73" t="s">
        <v>39</v>
      </c>
      <c r="C29" s="75">
        <f>('Hive Management'!I38+'Hive Management'!J38+'Hive Management'!I39+'Hive Management'!J39)</f>
        <v>0</v>
      </c>
      <c r="D29" s="75">
        <f>('Hive Management'!M38+'Hive Management'!M39)</f>
        <v>0</v>
      </c>
      <c r="E29" s="75">
        <f>('Hive Management'!O38+'Hive Management'!O39)</f>
        <v>0</v>
      </c>
      <c r="F29" s="75">
        <f t="shared" si="1"/>
        <v>0</v>
      </c>
    </row>
    <row r="30" spans="1:6" s="62" customFormat="1" ht="15.75">
      <c r="A30" s="105" t="s">
        <v>448</v>
      </c>
      <c r="B30" s="106"/>
      <c r="C30" s="247">
        <f>SUM(C18:C29)</f>
        <v>0</v>
      </c>
      <c r="D30" s="247">
        <f>SUM(D18:D29)</f>
        <v>0</v>
      </c>
      <c r="E30" s="247">
        <f>SUM(E18:E29)</f>
        <v>0</v>
      </c>
      <c r="F30" s="247">
        <f>SUM(F18:F29)</f>
        <v>0</v>
      </c>
    </row>
    <row r="31" spans="1:6" s="52" customFormat="1" ht="15">
      <c r="A31" s="108"/>
      <c r="B31" s="108"/>
      <c r="C31" s="109"/>
      <c r="D31" s="109"/>
      <c r="E31" s="109"/>
      <c r="F31" s="109"/>
    </row>
    <row r="32" spans="1:6" s="63" customFormat="1" ht="18.75">
      <c r="A32" s="110" t="s">
        <v>466</v>
      </c>
      <c r="B32" s="111"/>
      <c r="C32" s="112">
        <f>C30+C15</f>
        <v>0</v>
      </c>
      <c r="D32" s="113">
        <f>D30+D15</f>
        <v>0</v>
      </c>
      <c r="E32" s="113">
        <f>E30+E15</f>
        <v>0</v>
      </c>
      <c r="F32" s="113">
        <f>F30+F15</f>
        <v>0</v>
      </c>
    </row>
    <row r="33" spans="1:6" s="53" customFormat="1" ht="18.75">
      <c r="A33" s="114" t="s">
        <v>465</v>
      </c>
      <c r="B33" s="115"/>
      <c r="C33" s="116">
        <f>C32*'Honey Production - User Input'!$B$10</f>
        <v>0</v>
      </c>
      <c r="D33" s="116">
        <f>D32*'Honey Production - User Input'!$B$10</f>
        <v>0</v>
      </c>
      <c r="E33" s="116">
        <f>E32*'Honey Production - User Input'!$B$10</f>
        <v>0</v>
      </c>
      <c r="F33" s="116">
        <f>F32*'Honey Production - User Input'!$B$10</f>
        <v>0</v>
      </c>
    </row>
    <row r="35" spans="1:6" ht="15.75">
      <c r="A35" s="117" t="s">
        <v>227</v>
      </c>
      <c r="B35" s="103"/>
      <c r="C35" s="103"/>
      <c r="D35" s="103"/>
      <c r="E35" s="103"/>
      <c r="F35" s="103"/>
    </row>
    <row r="36" spans="1:6" ht="15.75">
      <c r="A36" s="110" t="s">
        <v>467</v>
      </c>
      <c r="B36" s="111"/>
      <c r="C36" s="112">
        <f>IF('Honey Production - User Input'!$B$35=1,'Honey Production - User Input'!M49,IF('Honey Production - User Input'!$B$35=2,'Honey Production - User Input'!M55,IF('Honey Production - User Input'!$B$35=3,'Honey Production - User Input'!M59,"Enter Transportation Data")))</f>
        <v>55902.00945908858</v>
      </c>
      <c r="D36" s="113">
        <f>IF('Honey Production - User Input'!$B$35=1,'Honey Production - User Input'!N49,IF('Honey Production - User Input'!$B$35=2,'Honey Production - User Input'!N55,IF('Honey Production - User Input'!$B$35=3,'Honey Production - User Input'!N59,"Enter Transportation Data")))</f>
        <v>71182.93316506661</v>
      </c>
      <c r="E36" s="113">
        <f>IF('Honey Production - User Input'!$B$35=1,'Honey Production - User Input'!O49,IF('Honey Production - User Input'!$B$35=2,'Honey Production - User Input'!O55,IF('Honey Production - User Input'!$B$35=3,'Honey Production - User Input'!O59,"Enter Transportation Data")))</f>
        <v>1598.578428237669</v>
      </c>
      <c r="F36" s="113">
        <f>C36+D36/1000*25+E36/1000*298</f>
        <v>58157.95915983007</v>
      </c>
    </row>
    <row r="37" spans="1:6" ht="18.75">
      <c r="A37" s="114" t="s">
        <v>468</v>
      </c>
      <c r="B37" s="118"/>
      <c r="C37" s="119">
        <f>C36*'Honey Production - User Input'!$B$10</f>
        <v>0</v>
      </c>
      <c r="D37" s="119">
        <f>D36*'Honey Production - User Input'!$B$10</f>
        <v>0</v>
      </c>
      <c r="E37" s="119">
        <f>E36*'Honey Production - User Input'!$B$10</f>
        <v>0</v>
      </c>
      <c r="F37" s="119">
        <f>C37+D37/1000*25+E37/1000*298</f>
        <v>0</v>
      </c>
    </row>
    <row r="38" spans="3:6" ht="15">
      <c r="C38" s="59"/>
      <c r="D38" s="59"/>
      <c r="E38" s="59"/>
      <c r="F38" s="59"/>
    </row>
    <row r="39" spans="3:6" ht="15" hidden="1">
      <c r="C39" s="59"/>
      <c r="D39" s="59"/>
      <c r="E39" s="59"/>
      <c r="F39" s="59"/>
    </row>
    <row r="40" spans="1:6" s="63" customFormat="1" ht="18.75" hidden="1">
      <c r="A40" s="63" t="s">
        <v>266</v>
      </c>
      <c r="C40" s="64">
        <f>C37</f>
        <v>0</v>
      </c>
      <c r="D40" s="64">
        <f>D37</f>
        <v>0</v>
      </c>
      <c r="E40" s="64">
        <f>E37</f>
        <v>0</v>
      </c>
      <c r="F40" s="64">
        <f>SUM(C40:E40)</f>
        <v>0</v>
      </c>
    </row>
    <row r="41" spans="3:6" s="53" customFormat="1" ht="18.75" hidden="1">
      <c r="C41" s="61"/>
      <c r="D41" s="61"/>
      <c r="E41" s="61"/>
      <c r="F41" s="61"/>
    </row>
    <row r="42" spans="3:6" ht="15" hidden="1">
      <c r="C42" s="60"/>
      <c r="D42" s="60"/>
      <c r="E42" s="60"/>
      <c r="F42" s="60"/>
    </row>
    <row r="43" spans="1:6" ht="15.75">
      <c r="A43" s="117" t="s">
        <v>497</v>
      </c>
      <c r="C43" s="60"/>
      <c r="D43" s="60"/>
      <c r="E43" s="60"/>
      <c r="F43" s="60"/>
    </row>
    <row r="44" spans="1:6" ht="15.75" hidden="1">
      <c r="A44" s="117" t="s">
        <v>0</v>
      </c>
      <c r="C44" s="60"/>
      <c r="D44" s="60"/>
      <c r="E44" s="60"/>
      <c r="F44" s="60"/>
    </row>
    <row r="45" spans="1:6" ht="15" hidden="1">
      <c r="A45" s="73" t="s">
        <v>200</v>
      </c>
      <c r="C45" s="75">
        <f>Extraction!F3+Extraction!G3</f>
        <v>0</v>
      </c>
      <c r="D45" s="75">
        <f>Extraction!J3</f>
        <v>0</v>
      </c>
      <c r="E45" s="75">
        <f>Extraction!L3</f>
        <v>0</v>
      </c>
      <c r="F45" s="75">
        <f>C45+D45/1000*25+E45/1000*298</f>
        <v>0</v>
      </c>
    </row>
    <row r="46" spans="1:6" ht="15" hidden="1">
      <c r="A46" s="73" t="s">
        <v>201</v>
      </c>
      <c r="C46" s="75">
        <f>Extraction!F4+Extraction!G4</f>
        <v>0</v>
      </c>
      <c r="D46" s="75">
        <f>Extraction!J4</f>
        <v>0</v>
      </c>
      <c r="E46" s="75">
        <f>Extraction!L4</f>
        <v>0</v>
      </c>
      <c r="F46" s="75">
        <f>C46+D46/1000*25+E46/1000*298</f>
        <v>0</v>
      </c>
    </row>
    <row r="47" spans="1:6" ht="15" hidden="1">
      <c r="A47" s="73" t="s">
        <v>89</v>
      </c>
      <c r="C47" s="75">
        <f>Extraction!F5+Extraction!G5+Extraction!F6+Extraction!G6</f>
        <v>0</v>
      </c>
      <c r="D47" s="75">
        <f>Extraction!J5</f>
        <v>0</v>
      </c>
      <c r="E47" s="75">
        <f>Extraction!L5</f>
        <v>0</v>
      </c>
      <c r="F47" s="75">
        <f>C47+D47/1000*25+E47/1000*298</f>
        <v>0</v>
      </c>
    </row>
    <row r="48" spans="1:6" ht="15" hidden="1">
      <c r="A48" s="73" t="s">
        <v>185</v>
      </c>
      <c r="C48" s="75">
        <f>Extraction!F7+Extraction!G7</f>
        <v>0</v>
      </c>
      <c r="D48" s="75">
        <f>Extraction!J6</f>
        <v>0</v>
      </c>
      <c r="E48" s="75">
        <f>Extraction!L6</f>
        <v>0</v>
      </c>
      <c r="F48" s="75">
        <f>C48+D48/1000*25+E48/1000*298</f>
        <v>0</v>
      </c>
    </row>
    <row r="49" spans="1:6" s="52" customFormat="1" ht="15.75" hidden="1">
      <c r="A49" s="117" t="s">
        <v>263</v>
      </c>
      <c r="C49" s="84">
        <f>SUM(C45:C48)</f>
        <v>0</v>
      </c>
      <c r="D49" s="75">
        <f>Extraction!J7</f>
        <v>0</v>
      </c>
      <c r="E49" s="75">
        <f>Extraction!L7</f>
        <v>0</v>
      </c>
      <c r="F49" s="75">
        <f>C49+D49/1000*25+E49/1000*298</f>
        <v>0</v>
      </c>
    </row>
    <row r="50" spans="1:6" ht="15" hidden="1">
      <c r="A50" s="120"/>
      <c r="C50" s="75"/>
      <c r="D50" s="75"/>
      <c r="E50" s="75"/>
      <c r="F50" s="75"/>
    </row>
    <row r="51" spans="1:6" ht="15.75" hidden="1">
      <c r="A51" s="117" t="s">
        <v>316</v>
      </c>
      <c r="C51" s="75"/>
      <c r="D51" s="75"/>
      <c r="E51" s="75"/>
      <c r="F51" s="75"/>
    </row>
    <row r="52" spans="1:6" ht="15">
      <c r="A52" s="73" t="s">
        <v>201</v>
      </c>
      <c r="C52" s="244">
        <f>Extraction!F11+Extraction!G11</f>
        <v>0</v>
      </c>
      <c r="D52" s="244">
        <f>Extraction!J11</f>
        <v>0</v>
      </c>
      <c r="E52" s="244">
        <f>Extraction!L11</f>
        <v>0</v>
      </c>
      <c r="F52" s="75">
        <f>C52+D52/1000*25+E52/1000*298</f>
        <v>0</v>
      </c>
    </row>
    <row r="53" spans="1:6" ht="15">
      <c r="A53" s="73" t="s">
        <v>89</v>
      </c>
      <c r="C53" s="244">
        <f>Extraction!F13+Extraction!G13+Extraction!F14+Extraction!G14</f>
        <v>0</v>
      </c>
      <c r="D53" s="244">
        <f>Extraction!J13+Extraction!J14</f>
        <v>0</v>
      </c>
      <c r="E53" s="244">
        <f>Extraction!L13+Extraction!L14</f>
        <v>0</v>
      </c>
      <c r="F53" s="75">
        <f>C53+D53/1000*25+E53/1000*298</f>
        <v>0</v>
      </c>
    </row>
    <row r="54" spans="1:6" ht="15">
      <c r="A54" s="73" t="s">
        <v>185</v>
      </c>
      <c r="C54" s="244">
        <f>Extraction!F12+Extraction!G12</f>
        <v>0</v>
      </c>
      <c r="D54" s="244">
        <f>Extraction!J12</f>
        <v>0</v>
      </c>
      <c r="E54" s="244">
        <f>Extraction!L12</f>
        <v>0</v>
      </c>
      <c r="F54" s="75">
        <f>C54+D54/1000*25+E54/1000*298</f>
        <v>0</v>
      </c>
    </row>
    <row r="55" spans="1:6" s="52" customFormat="1" ht="15.75">
      <c r="A55" s="117" t="s">
        <v>264</v>
      </c>
      <c r="C55" s="247">
        <f>SUM(C52:C54)</f>
        <v>0</v>
      </c>
      <c r="D55" s="247">
        <f>SUM(D52:D54)</f>
        <v>0</v>
      </c>
      <c r="E55" s="247">
        <f>SUM(E52:E54)</f>
        <v>0</v>
      </c>
      <c r="F55" s="248">
        <f>C55+D55/1000*25+E55/1000*298</f>
        <v>0</v>
      </c>
    </row>
    <row r="56" spans="1:6" ht="15">
      <c r="A56" s="103"/>
      <c r="B56" s="103"/>
      <c r="C56" s="121"/>
      <c r="D56" s="121"/>
      <c r="E56" s="121"/>
      <c r="F56" s="121"/>
    </row>
    <row r="57" spans="1:6" s="54" customFormat="1" ht="18.75">
      <c r="A57" s="114" t="s">
        <v>267</v>
      </c>
      <c r="B57" s="122"/>
      <c r="C57" s="210">
        <f>C49+C55</f>
        <v>0</v>
      </c>
      <c r="D57" s="210">
        <f>D49+D55</f>
        <v>0</v>
      </c>
      <c r="E57" s="210">
        <f>E49+E55</f>
        <v>0</v>
      </c>
      <c r="F57" s="210">
        <f>F49+F55</f>
        <v>0</v>
      </c>
    </row>
    <row r="58" spans="1:6" s="54" customFormat="1" ht="18.75">
      <c r="A58" s="53"/>
      <c r="C58" s="55"/>
      <c r="D58" s="55"/>
      <c r="E58" s="55"/>
      <c r="F58" s="55"/>
    </row>
    <row r="59" spans="1:6" s="54" customFormat="1" ht="18.75">
      <c r="A59" s="56"/>
      <c r="C59" s="55"/>
      <c r="D59" s="55"/>
      <c r="E59" s="55"/>
      <c r="F59" s="55"/>
    </row>
    <row r="61" ht="15">
      <c r="A61" s="39"/>
    </row>
    <row r="62" spans="1:6" s="53" customFormat="1" ht="18.75">
      <c r="A62" s="86" t="s">
        <v>469</v>
      </c>
      <c r="B62" s="85"/>
      <c r="C62" s="87">
        <f>C33+C37+C32</f>
        <v>0</v>
      </c>
      <c r="D62" s="87">
        <f>D57+D40+D32</f>
        <v>0</v>
      </c>
      <c r="E62" s="87">
        <f>E57+E40+E32</f>
        <v>0</v>
      </c>
      <c r="F62" s="88">
        <f>F57+F40+F32</f>
        <v>0</v>
      </c>
    </row>
    <row r="63" spans="1:6" s="41" customFormat="1" ht="15.75">
      <c r="A63" s="91" t="s">
        <v>470</v>
      </c>
      <c r="B63" s="92"/>
      <c r="C63" s="93">
        <f>((C32+C40+C57)*'Honey Production - User Input'!$B$10)</f>
        <v>0</v>
      </c>
      <c r="D63" s="93">
        <f>((D32+D40+D57)*'Honey Production - User Input'!$B$10)</f>
        <v>0</v>
      </c>
      <c r="E63" s="93">
        <f>((E32+E40+E57)*'Honey Production - User Input'!$B$10)</f>
        <v>0</v>
      </c>
      <c r="F63" s="94">
        <f>((F32+F40+F57)*'Honey Production - User Input'!$B$10)</f>
        <v>0</v>
      </c>
    </row>
    <row r="64" spans="1:6" s="90" customFormat="1" ht="15">
      <c r="A64" s="89"/>
      <c r="B64" s="89"/>
      <c r="C64" s="89"/>
      <c r="D64" s="89"/>
      <c r="E64" s="89"/>
      <c r="F64" s="89"/>
    </row>
    <row r="65" spans="1:6" s="41" customFormat="1" ht="18.75">
      <c r="A65" s="95" t="s">
        <v>471</v>
      </c>
      <c r="B65" s="96"/>
      <c r="C65" s="242" t="e">
        <f>C63/('Honey Production - User Input'!$B$9*0.45359)</f>
        <v>#DIV/0!</v>
      </c>
      <c r="D65" s="242" t="e">
        <f>D63/('Honey Production - User Input'!$B$9*0.45359)</f>
        <v>#DIV/0!</v>
      </c>
      <c r="E65" s="242" t="e">
        <f>E63/('Honey Production - User Input'!$B$9*0.45359)</f>
        <v>#DIV/0!</v>
      </c>
      <c r="F65" s="243" t="e">
        <f>F63/('Honey Production - User Input'!$B$9/2.2046)</f>
        <v>#DIV/0!</v>
      </c>
    </row>
    <row r="71" spans="4:5" ht="15">
      <c r="D71" s="23" t="s">
        <v>187</v>
      </c>
      <c r="E71" s="99" t="e">
        <f>F15/'Honey Production - User Input'!$B$9</f>
        <v>#DIV/0!</v>
      </c>
    </row>
    <row r="72" spans="4:5" ht="15">
      <c r="D72" s="23" t="s">
        <v>3</v>
      </c>
      <c r="E72" s="99" t="e">
        <f>F30/'Honey Production - User Input'!$B$9</f>
        <v>#DIV/0!</v>
      </c>
    </row>
    <row r="73" spans="4:5" ht="15">
      <c r="D73" s="23" t="s">
        <v>4</v>
      </c>
      <c r="E73" s="99" t="e">
        <f>F40/'Honey Production - User Input'!$B$9</f>
        <v>#DIV/0!</v>
      </c>
    </row>
    <row r="74" spans="4:5" ht="15">
      <c r="D74" s="23" t="s">
        <v>156</v>
      </c>
      <c r="E74" s="99" t="e">
        <f>F57/'Honey Production - User Input'!$B$9</f>
        <v>#DIV/0!</v>
      </c>
    </row>
    <row r="75" spans="5:6" ht="15">
      <c r="E75" s="49"/>
      <c r="F75" s="58"/>
    </row>
    <row r="76" ht="15">
      <c r="F76" s="58"/>
    </row>
  </sheetData>
  <sheetProtection/>
  <dataValidations count="1">
    <dataValidation type="list" allowBlank="1" showDropDown="1" showInputMessage="1" showErrorMessage="1" sqref="B8:B16">
      <formula1>$A$9:$A$14</formula1>
    </dataValidation>
  </dataValidations>
  <printOptions/>
  <pageMargins left="0.75" right="0.75" top="1" bottom="1" header="0.5" footer="0.5"/>
  <pageSetup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K19"/>
  <sheetViews>
    <sheetView zoomScalePageLayoutView="0" workbookViewId="0" topLeftCell="A1">
      <selection activeCell="B7" sqref="B7"/>
    </sheetView>
  </sheetViews>
  <sheetFormatPr defaultColWidth="10.7109375" defaultRowHeight="15"/>
  <cols>
    <col min="1" max="1" width="50.421875" style="161" customWidth="1"/>
    <col min="2" max="2" width="13.7109375" style="161" bestFit="1" customWidth="1"/>
    <col min="3" max="3" width="21.28125" style="161" customWidth="1"/>
    <col min="4" max="4" width="25.57421875" style="161" customWidth="1"/>
    <col min="5" max="5" width="26.8515625" style="161" customWidth="1"/>
    <col min="6" max="6" width="35.421875" style="161" customWidth="1"/>
    <col min="7" max="16384" width="10.7109375" style="161" customWidth="1"/>
  </cols>
  <sheetData>
    <row r="1" spans="1:11" ht="66" customHeight="1">
      <c r="A1" s="264" t="s">
        <v>480</v>
      </c>
      <c r="B1" s="261"/>
      <c r="K1" s="159" t="s">
        <v>286</v>
      </c>
    </row>
    <row r="2" ht="15">
      <c r="K2" s="159" t="s">
        <v>200</v>
      </c>
    </row>
    <row r="3" ht="15"/>
    <row r="4" spans="1:5" ht="21">
      <c r="A4" s="220" t="s">
        <v>520</v>
      </c>
      <c r="B4" s="217">
        <v>1</v>
      </c>
      <c r="E4" s="159" t="s">
        <v>517</v>
      </c>
    </row>
    <row r="5" spans="1:5" ht="18.75">
      <c r="A5" s="164" t="s">
        <v>515</v>
      </c>
      <c r="B5" s="154" t="s">
        <v>442</v>
      </c>
      <c r="E5" s="159" t="s">
        <v>518</v>
      </c>
    </row>
    <row r="6" spans="1:7" ht="15">
      <c r="A6" s="221" t="s">
        <v>1</v>
      </c>
      <c r="B6" s="218"/>
      <c r="C6" s="219" t="s">
        <v>254</v>
      </c>
      <c r="D6" s="159"/>
      <c r="E6" s="159" t="s">
        <v>519</v>
      </c>
      <c r="F6" s="159"/>
      <c r="G6" s="159"/>
    </row>
    <row r="7" spans="1:7" ht="15">
      <c r="A7" s="221" t="s">
        <v>417</v>
      </c>
      <c r="B7" s="218"/>
      <c r="C7" s="219" t="s">
        <v>243</v>
      </c>
      <c r="D7" s="159"/>
      <c r="E7" s="159">
        <f>IF('Home Page'!E5=1,'Honey Production - User Input'!B9,'Packaging - User Input'!B8)</f>
        <v>0</v>
      </c>
      <c r="F7" s="159"/>
      <c r="G7" s="159"/>
    </row>
    <row r="8" spans="1:7" ht="17.25" customHeight="1">
      <c r="A8" s="221" t="s">
        <v>514</v>
      </c>
      <c r="B8" s="218"/>
      <c r="C8" s="257">
        <v>2</v>
      </c>
      <c r="D8" s="159"/>
      <c r="E8" s="159"/>
      <c r="F8" s="159"/>
      <c r="G8" s="159"/>
    </row>
    <row r="9" spans="1:7" ht="15">
      <c r="A9" s="160"/>
      <c r="B9" s="159" t="e">
        <f>(E7/B7)*B6/B8*1.25</f>
        <v>#DIV/0!</v>
      </c>
      <c r="C9" s="159" t="s">
        <v>452</v>
      </c>
      <c r="D9" s="159" t="e">
        <f>IF(C8=1,B9*LCI!H49,B9*LCI!H54)</f>
        <v>#DIV/0!</v>
      </c>
      <c r="E9" s="159" t="e">
        <f>IF(C8=1,B9*LCI!L49,B9*LCI!L54)</f>
        <v>#DIV/0!</v>
      </c>
      <c r="F9" s="159" t="e">
        <f>IF(C8=1,B9*LCI!N49,B9*LCI!N54)</f>
        <v>#DIV/0!</v>
      </c>
      <c r="G9" s="159"/>
    </row>
    <row r="10" spans="1:7" ht="18.75">
      <c r="A10" s="164" t="s">
        <v>516</v>
      </c>
      <c r="B10" s="154" t="s">
        <v>442</v>
      </c>
      <c r="C10" s="159"/>
      <c r="D10" s="159"/>
      <c r="E10" s="159"/>
      <c r="F10" s="159"/>
      <c r="G10" s="159"/>
    </row>
    <row r="11" spans="1:7" ht="15">
      <c r="A11" s="221" t="s">
        <v>1</v>
      </c>
      <c r="B11" s="218"/>
      <c r="C11" s="219" t="s">
        <v>254</v>
      </c>
      <c r="D11" s="159">
        <f>B11*E7*LCI!H55*0.000453592</f>
        <v>0</v>
      </c>
      <c r="E11" s="159">
        <f>B11*E7*LCI!L55*0.000453592</f>
        <v>0</v>
      </c>
      <c r="F11" s="159">
        <f>B11*E7*LCI!N55*0.000453592</f>
        <v>0</v>
      </c>
      <c r="G11" s="159"/>
    </row>
    <row r="12" spans="1:7" ht="15">
      <c r="A12" s="160"/>
      <c r="B12" s="159"/>
      <c r="C12" s="159"/>
      <c r="D12" s="159"/>
      <c r="E12" s="159"/>
      <c r="F12" s="159"/>
      <c r="G12" s="159"/>
    </row>
    <row r="13" s="166" customFormat="1" ht="15">
      <c r="A13" s="167"/>
    </row>
    <row r="14" spans="1:6" ht="21">
      <c r="A14" s="168" t="s">
        <v>394</v>
      </c>
      <c r="B14" s="169"/>
      <c r="C14" s="169"/>
      <c r="D14" s="169"/>
      <c r="E14" s="169"/>
      <c r="F14" s="169"/>
    </row>
    <row r="15" spans="1:6" ht="18.75">
      <c r="A15" s="170"/>
      <c r="B15" s="170"/>
      <c r="C15" s="171" t="s">
        <v>476</v>
      </c>
      <c r="D15" s="170"/>
      <c r="E15" s="170"/>
      <c r="F15" s="172"/>
    </row>
    <row r="16" spans="1:6" s="177" customFormat="1" ht="57.75">
      <c r="A16" s="173"/>
      <c r="B16" s="174"/>
      <c r="C16" s="175" t="s">
        <v>484</v>
      </c>
      <c r="D16" s="175" t="s">
        <v>481</v>
      </c>
      <c r="E16" s="175" t="s">
        <v>482</v>
      </c>
      <c r="F16" s="176" t="s">
        <v>483</v>
      </c>
    </row>
    <row r="17" spans="1:6" s="182" customFormat="1" ht="18.75">
      <c r="A17" s="178" t="s">
        <v>418</v>
      </c>
      <c r="B17" s="179"/>
      <c r="C17" s="180" t="e">
        <f>IF($B$4=1,D9,D11)</f>
        <v>#DIV/0!</v>
      </c>
      <c r="D17" s="180" t="e">
        <f>IF($B$4=1,E9,E11)</f>
        <v>#DIV/0!</v>
      </c>
      <c r="E17" s="180" t="e">
        <f>IF($B$4=1,F9,F11)</f>
        <v>#DIV/0!</v>
      </c>
      <c r="F17" s="181" t="e">
        <f>C17+D17/1000*25+E17/1000*298</f>
        <v>#DIV/0!</v>
      </c>
    </row>
    <row r="18" spans="1:6" s="177" customFormat="1" ht="18.75">
      <c r="A18" s="183" t="s">
        <v>202</v>
      </c>
      <c r="B18" s="184"/>
      <c r="C18" s="185" t="e">
        <f>C17/('Honey Production - User Input'!$B$9*0.4536)</f>
        <v>#DIV/0!</v>
      </c>
      <c r="D18" s="185" t="e">
        <f>D17/('Honey Production - User Input'!$B$9*0.4536)</f>
        <v>#DIV/0!</v>
      </c>
      <c r="E18" s="185" t="e">
        <f>E17/('Honey Production - User Input'!$B$9*0.4536)</f>
        <v>#DIV/0!</v>
      </c>
      <c r="F18" s="186" t="e">
        <f>F17/('Honey Production - User Input'!$B$9*0.4536)</f>
        <v>#DIV/0!</v>
      </c>
    </row>
    <row r="19" spans="1:6" ht="18.75">
      <c r="A19" s="187" t="s">
        <v>473</v>
      </c>
      <c r="B19" s="188"/>
      <c r="C19" s="189" t="e">
        <f>C18*0.4536</f>
        <v>#DIV/0!</v>
      </c>
      <c r="D19" s="189" t="e">
        <f>D18*0.4536</f>
        <v>#DIV/0!</v>
      </c>
      <c r="E19" s="189" t="e">
        <f>E18*0.4536</f>
        <v>#DIV/0!</v>
      </c>
      <c r="F19" s="190" t="e">
        <f>F18*0.4536</f>
        <v>#DIV/0!</v>
      </c>
    </row>
  </sheetData>
  <sheetProtection password="C442" sheet="1" selectLockedCells="1"/>
  <mergeCells count="1">
    <mergeCell ref="A1:B1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T68"/>
  <sheetViews>
    <sheetView zoomScalePageLayoutView="0" workbookViewId="0" topLeftCell="A1">
      <selection activeCell="B60" sqref="B60"/>
    </sheetView>
  </sheetViews>
  <sheetFormatPr defaultColWidth="11.421875" defaultRowHeight="15"/>
  <cols>
    <col min="1" max="1" width="64.28125" style="144" customWidth="1"/>
    <col min="2" max="2" width="33.421875" style="144" bestFit="1" customWidth="1"/>
    <col min="3" max="3" width="7.00390625" style="144" bestFit="1" customWidth="1"/>
    <col min="4" max="4" width="26.28125" style="144" bestFit="1" customWidth="1"/>
    <col min="5" max="5" width="12.00390625" style="144" customWidth="1"/>
    <col min="6" max="6" width="17.140625" style="144" customWidth="1"/>
    <col min="7" max="11" width="11.421875" style="144" customWidth="1"/>
    <col min="12" max="16384" width="11.421875" style="144" customWidth="1"/>
  </cols>
  <sheetData>
    <row r="1" spans="1:13" ht="18.75">
      <c r="A1" s="153" t="s">
        <v>298</v>
      </c>
      <c r="B1" s="191" t="s">
        <v>447</v>
      </c>
      <c r="H1" s="159" t="s">
        <v>30</v>
      </c>
      <c r="I1" s="159"/>
      <c r="J1" s="159"/>
      <c r="K1" s="159"/>
      <c r="L1" s="159"/>
      <c r="M1" s="159"/>
    </row>
    <row r="2" spans="1:13" ht="15">
      <c r="A2" s="222" t="s">
        <v>168</v>
      </c>
      <c r="B2" s="44"/>
      <c r="H2" s="159" t="s">
        <v>27</v>
      </c>
      <c r="I2" s="159"/>
      <c r="J2" s="159"/>
      <c r="K2" s="159"/>
      <c r="L2" s="159"/>
      <c r="M2" s="159"/>
    </row>
    <row r="3" spans="1:13" ht="15">
      <c r="A3" s="222" t="s">
        <v>169</v>
      </c>
      <c r="B3" s="44"/>
      <c r="H3" s="159" t="s">
        <v>29</v>
      </c>
      <c r="I3" s="159"/>
      <c r="J3" s="159"/>
      <c r="K3" s="159"/>
      <c r="L3" s="159"/>
      <c r="M3" s="159"/>
    </row>
    <row r="4" spans="1:13" ht="15">
      <c r="A4" s="222" t="s">
        <v>170</v>
      </c>
      <c r="B4" s="44"/>
      <c r="H4" s="159" t="s">
        <v>28</v>
      </c>
      <c r="I4" s="159"/>
      <c r="J4" s="159"/>
      <c r="K4" s="159"/>
      <c r="L4" s="159"/>
      <c r="M4" s="159"/>
    </row>
    <row r="5" spans="1:13" ht="15">
      <c r="A5" s="222" t="s">
        <v>171</v>
      </c>
      <c r="B5" s="44"/>
      <c r="H5" s="159"/>
      <c r="I5" s="159"/>
      <c r="J5" s="159"/>
      <c r="K5" s="159"/>
      <c r="L5" s="159"/>
      <c r="M5" s="159"/>
    </row>
    <row r="6" spans="2:13" ht="15">
      <c r="B6" s="192"/>
      <c r="H6" s="159"/>
      <c r="I6" s="159"/>
      <c r="J6" s="159"/>
      <c r="K6" s="159"/>
      <c r="L6" s="159"/>
      <c r="M6" s="159"/>
    </row>
    <row r="7" spans="2:13" ht="15">
      <c r="B7" s="193" t="s">
        <v>99</v>
      </c>
      <c r="H7" s="159"/>
      <c r="I7" s="159"/>
      <c r="J7" s="159"/>
      <c r="K7" s="159"/>
      <c r="L7" s="159"/>
      <c r="M7" s="159"/>
    </row>
    <row r="8" spans="1:13" ht="15">
      <c r="A8" s="155" t="s">
        <v>503</v>
      </c>
      <c r="B8" s="44"/>
      <c r="C8" s="144" t="s">
        <v>167</v>
      </c>
      <c r="H8" s="159"/>
      <c r="I8" s="159"/>
      <c r="J8" s="159"/>
      <c r="K8" s="159"/>
      <c r="L8" s="159"/>
      <c r="M8" s="159"/>
    </row>
    <row r="9" spans="1:13" ht="15">
      <c r="A9" s="155"/>
      <c r="B9" s="155"/>
      <c r="H9" s="159"/>
      <c r="I9" s="159"/>
      <c r="J9" s="159"/>
      <c r="K9" s="159"/>
      <c r="L9" s="159"/>
      <c r="M9" s="159"/>
    </row>
    <row r="10" spans="8:13" ht="15">
      <c r="H10" s="159"/>
      <c r="I10" s="159"/>
      <c r="J10" s="159" t="s">
        <v>375</v>
      </c>
      <c r="K10" s="159"/>
      <c r="L10" s="159"/>
      <c r="M10" s="159"/>
    </row>
    <row r="11" spans="1:13" ht="37.5">
      <c r="A11" s="162" t="s">
        <v>312</v>
      </c>
      <c r="B11" s="153"/>
      <c r="D11" s="163"/>
      <c r="E11" s="163"/>
      <c r="H11" s="159"/>
      <c r="I11" s="159"/>
      <c r="J11" s="159" t="s">
        <v>115</v>
      </c>
      <c r="K11" s="159"/>
      <c r="L11" s="159"/>
      <c r="M11" s="159"/>
    </row>
    <row r="12" spans="1:13" ht="15.75">
      <c r="A12" s="194" t="s">
        <v>128</v>
      </c>
      <c r="B12" s="194"/>
      <c r="C12" s="163"/>
      <c r="D12" s="163"/>
      <c r="E12" s="163"/>
      <c r="H12" s="159"/>
      <c r="I12" s="159"/>
      <c r="J12" s="159" t="s">
        <v>116</v>
      </c>
      <c r="K12" s="159"/>
      <c r="L12" s="159"/>
      <c r="M12" s="159"/>
    </row>
    <row r="13" spans="1:13" ht="30.75">
      <c r="A13" s="153"/>
      <c r="B13" s="195" t="s">
        <v>450</v>
      </c>
      <c r="C13" s="163"/>
      <c r="D13" s="196" t="s">
        <v>331</v>
      </c>
      <c r="H13" s="159"/>
      <c r="I13" s="159"/>
      <c r="J13" s="159"/>
      <c r="K13" s="159"/>
      <c r="L13" s="159"/>
      <c r="M13" s="159"/>
    </row>
    <row r="14" spans="1:13" ht="15">
      <c r="A14" s="222" t="s">
        <v>221</v>
      </c>
      <c r="B14" s="44"/>
      <c r="D14" s="51" t="s">
        <v>12</v>
      </c>
      <c r="H14" s="159"/>
      <c r="I14" s="159"/>
      <c r="J14" s="159" t="s">
        <v>375</v>
      </c>
      <c r="K14" s="159"/>
      <c r="L14" s="159"/>
      <c r="M14" s="159"/>
    </row>
    <row r="15" spans="1:13" ht="15">
      <c r="A15" s="222" t="s">
        <v>222</v>
      </c>
      <c r="B15" s="44"/>
      <c r="D15" s="51" t="s">
        <v>12</v>
      </c>
      <c r="H15" s="159"/>
      <c r="I15" s="159"/>
      <c r="J15" s="159" t="s">
        <v>178</v>
      </c>
      <c r="K15" s="159"/>
      <c r="L15" s="159"/>
      <c r="M15" s="159"/>
    </row>
    <row r="16" spans="1:13" ht="15">
      <c r="A16" s="222" t="s">
        <v>223</v>
      </c>
      <c r="B16" s="44"/>
      <c r="D16" s="51" t="s">
        <v>12</v>
      </c>
      <c r="H16" s="159"/>
      <c r="I16" s="159"/>
      <c r="J16" s="159" t="s">
        <v>116</v>
      </c>
      <c r="K16" s="159"/>
      <c r="L16" s="159"/>
      <c r="M16" s="159"/>
    </row>
    <row r="17" spans="1:13" ht="15">
      <c r="A17" s="222" t="s">
        <v>388</v>
      </c>
      <c r="B17" s="44"/>
      <c r="D17" s="51" t="s">
        <v>12</v>
      </c>
      <c r="H17" s="159"/>
      <c r="I17" s="159"/>
      <c r="J17" s="159" t="s">
        <v>13</v>
      </c>
      <c r="K17" s="159"/>
      <c r="L17" s="159"/>
      <c r="M17" s="159"/>
    </row>
    <row r="18" spans="1:13" ht="15">
      <c r="A18" s="222" t="s">
        <v>84</v>
      </c>
      <c r="B18" s="44"/>
      <c r="D18" s="51" t="s">
        <v>12</v>
      </c>
      <c r="H18" s="159"/>
      <c r="I18" s="159"/>
      <c r="J18" s="159"/>
      <c r="K18" s="159"/>
      <c r="L18" s="159"/>
      <c r="M18" s="159"/>
    </row>
    <row r="19" spans="1:13" ht="15">
      <c r="A19" s="222" t="s">
        <v>349</v>
      </c>
      <c r="B19" s="44"/>
      <c r="D19" s="51" t="s">
        <v>12</v>
      </c>
      <c r="H19" s="159"/>
      <c r="I19" s="159"/>
      <c r="J19" s="159" t="s">
        <v>262</v>
      </c>
      <c r="K19" s="159" t="s">
        <v>122</v>
      </c>
      <c r="L19" s="159"/>
      <c r="M19" s="159"/>
    </row>
    <row r="20" spans="1:13" ht="15">
      <c r="A20" s="222" t="s">
        <v>376</v>
      </c>
      <c r="B20" s="44"/>
      <c r="H20" s="159"/>
      <c r="I20" s="159"/>
      <c r="J20" s="159" t="s">
        <v>201</v>
      </c>
      <c r="K20" s="159" t="s">
        <v>123</v>
      </c>
      <c r="L20" s="159"/>
      <c r="M20" s="159"/>
    </row>
    <row r="21" spans="1:13" ht="15">
      <c r="A21" s="222" t="s">
        <v>377</v>
      </c>
      <c r="B21" s="44"/>
      <c r="H21" s="159"/>
      <c r="I21" s="159"/>
      <c r="J21" s="159" t="s">
        <v>424</v>
      </c>
      <c r="K21" s="159" t="s">
        <v>426</v>
      </c>
      <c r="L21" s="159"/>
      <c r="M21" s="159"/>
    </row>
    <row r="22" spans="1:13" ht="15">
      <c r="A22" s="222" t="s">
        <v>378</v>
      </c>
      <c r="B22" s="44"/>
      <c r="H22" s="159"/>
      <c r="I22" s="159"/>
      <c r="J22" s="159" t="s">
        <v>425</v>
      </c>
      <c r="K22" s="159" t="s">
        <v>382</v>
      </c>
      <c r="L22" s="159"/>
      <c r="M22" s="159"/>
    </row>
    <row r="23" spans="1:13" ht="15">
      <c r="A23" s="222" t="s">
        <v>379</v>
      </c>
      <c r="B23" s="44"/>
      <c r="H23" s="159"/>
      <c r="I23" s="159"/>
      <c r="J23" s="159" t="s">
        <v>287</v>
      </c>
      <c r="K23" s="159"/>
      <c r="L23" s="159"/>
      <c r="M23" s="159"/>
    </row>
    <row r="24" spans="1:13" ht="15">
      <c r="A24" s="222" t="s">
        <v>383</v>
      </c>
      <c r="B24" s="44"/>
      <c r="H24" s="159"/>
      <c r="I24" s="159"/>
      <c r="J24" s="159"/>
      <c r="K24" s="159"/>
      <c r="L24" s="159"/>
      <c r="M24" s="159"/>
    </row>
    <row r="25" spans="1:13" ht="15">
      <c r="A25" s="222" t="s">
        <v>389</v>
      </c>
      <c r="B25" s="44"/>
      <c r="H25" s="159"/>
      <c r="I25" s="159"/>
      <c r="J25" s="159" t="s">
        <v>12</v>
      </c>
      <c r="K25" s="159"/>
      <c r="L25" s="159"/>
      <c r="M25" s="159"/>
    </row>
    <row r="26" spans="1:13" ht="15">
      <c r="A26" s="222" t="s">
        <v>346</v>
      </c>
      <c r="B26" s="44"/>
      <c r="H26" s="159"/>
      <c r="I26" s="159"/>
      <c r="J26" s="159" t="s">
        <v>332</v>
      </c>
      <c r="K26" s="159"/>
      <c r="L26" s="159"/>
      <c r="M26" s="159"/>
    </row>
    <row r="27" spans="1:13" ht="15">
      <c r="A27" s="222" t="s">
        <v>347</v>
      </c>
      <c r="B27" s="44"/>
      <c r="H27" s="159"/>
      <c r="I27" s="159"/>
      <c r="J27" s="159" t="s">
        <v>333</v>
      </c>
      <c r="K27" s="159"/>
      <c r="L27" s="159"/>
      <c r="M27" s="159"/>
    </row>
    <row r="28" spans="1:13" ht="15">
      <c r="A28" s="222" t="s">
        <v>348</v>
      </c>
      <c r="B28" s="44"/>
      <c r="H28" s="159"/>
      <c r="I28" s="159"/>
      <c r="J28" s="159"/>
      <c r="K28" s="159"/>
      <c r="L28" s="159"/>
      <c r="M28" s="159"/>
    </row>
    <row r="29" spans="8:13" ht="15">
      <c r="H29" s="159"/>
      <c r="I29" s="159"/>
      <c r="J29" s="159"/>
      <c r="K29" s="159"/>
      <c r="L29" s="159"/>
      <c r="M29" s="159"/>
    </row>
    <row r="30" spans="2:13" ht="45">
      <c r="B30" s="154" t="s">
        <v>444</v>
      </c>
      <c r="C30" s="154"/>
      <c r="D30" s="195" t="s">
        <v>450</v>
      </c>
      <c r="F30" s="196" t="s">
        <v>331</v>
      </c>
      <c r="H30" s="159"/>
      <c r="I30" s="159"/>
      <c r="J30" s="159"/>
      <c r="K30" s="159"/>
      <c r="L30" s="159"/>
      <c r="M30" s="159"/>
    </row>
    <row r="31" spans="1:13" ht="15">
      <c r="A31" s="222" t="s">
        <v>438</v>
      </c>
      <c r="B31" s="44"/>
      <c r="C31" s="144" t="s">
        <v>63</v>
      </c>
      <c r="D31" s="44"/>
      <c r="H31" s="159"/>
      <c r="I31" s="159"/>
      <c r="J31" s="159"/>
      <c r="K31" s="159"/>
      <c r="L31" s="159"/>
      <c r="M31" s="159"/>
    </row>
    <row r="32" spans="1:13" ht="15">
      <c r="A32" s="222" t="s">
        <v>438</v>
      </c>
      <c r="B32" s="44"/>
      <c r="C32" s="144" t="s">
        <v>63</v>
      </c>
      <c r="D32" s="44"/>
      <c r="H32" s="159"/>
      <c r="I32" s="159"/>
      <c r="J32" s="159"/>
      <c r="K32" s="159"/>
      <c r="L32" s="159"/>
      <c r="M32" s="159"/>
    </row>
    <row r="33" spans="1:13" ht="15">
      <c r="A33" s="222" t="s">
        <v>438</v>
      </c>
      <c r="B33" s="44"/>
      <c r="C33" s="144" t="s">
        <v>63</v>
      </c>
      <c r="D33" s="44"/>
      <c r="H33" s="159"/>
      <c r="I33" s="159"/>
      <c r="J33" s="159"/>
      <c r="K33" s="159"/>
      <c r="L33" s="159"/>
      <c r="M33" s="159"/>
    </row>
    <row r="34" spans="1:13" ht="15">
      <c r="A34" s="222" t="s">
        <v>438</v>
      </c>
      <c r="B34" s="44"/>
      <c r="C34" s="144" t="s">
        <v>63</v>
      </c>
      <c r="D34" s="44"/>
      <c r="H34" s="159"/>
      <c r="I34" s="159"/>
      <c r="J34" s="159"/>
      <c r="K34" s="159"/>
      <c r="L34" s="159"/>
      <c r="M34" s="159"/>
    </row>
    <row r="35" spans="1:13" ht="15">
      <c r="A35" s="222" t="s">
        <v>313</v>
      </c>
      <c r="B35" s="44"/>
      <c r="C35" s="144" t="s">
        <v>63</v>
      </c>
      <c r="D35" s="44"/>
      <c r="F35" s="51" t="s">
        <v>12</v>
      </c>
      <c r="H35" s="159"/>
      <c r="I35" s="159"/>
      <c r="J35" s="159"/>
      <c r="K35" s="159"/>
      <c r="L35" s="159"/>
      <c r="M35" s="159"/>
    </row>
    <row r="36" spans="1:13" ht="15">
      <c r="A36" s="222" t="s">
        <v>313</v>
      </c>
      <c r="B36" s="44"/>
      <c r="C36" s="144" t="s">
        <v>63</v>
      </c>
      <c r="D36" s="44"/>
      <c r="F36" s="51" t="s">
        <v>12</v>
      </c>
      <c r="H36" s="159"/>
      <c r="I36" s="159"/>
      <c r="J36" s="159"/>
      <c r="K36" s="159"/>
      <c r="L36" s="159"/>
      <c r="M36" s="159"/>
    </row>
    <row r="37" spans="1:13" ht="15">
      <c r="A37" s="222" t="s">
        <v>313</v>
      </c>
      <c r="B37" s="44"/>
      <c r="C37" s="144" t="s">
        <v>63</v>
      </c>
      <c r="D37" s="44"/>
      <c r="F37" s="51" t="s">
        <v>12</v>
      </c>
      <c r="H37" s="159"/>
      <c r="I37" s="159"/>
      <c r="J37" s="159"/>
      <c r="K37" s="159"/>
      <c r="L37" s="159"/>
      <c r="M37" s="159"/>
    </row>
    <row r="38" spans="1:13" ht="15">
      <c r="A38" s="222" t="s">
        <v>313</v>
      </c>
      <c r="B38" s="44"/>
      <c r="C38" s="144" t="s">
        <v>63</v>
      </c>
      <c r="D38" s="44"/>
      <c r="F38" s="51" t="s">
        <v>12</v>
      </c>
      <c r="H38" s="159"/>
      <c r="I38" s="159"/>
      <c r="J38" s="159"/>
      <c r="K38" s="159"/>
      <c r="L38" s="159"/>
      <c r="M38" s="159"/>
    </row>
    <row r="39" spans="8:13" ht="15">
      <c r="H39" s="159"/>
      <c r="I39" s="159"/>
      <c r="J39" s="159"/>
      <c r="K39" s="159"/>
      <c r="L39" s="159"/>
      <c r="M39" s="159"/>
    </row>
    <row r="40" spans="5:13" ht="15">
      <c r="E40" s="163"/>
      <c r="H40" s="159"/>
      <c r="I40" s="159"/>
      <c r="J40" s="159"/>
      <c r="K40" s="159"/>
      <c r="L40" s="159"/>
      <c r="M40" s="159"/>
    </row>
    <row r="41" spans="1:13" ht="15.75">
      <c r="A41" s="194" t="s">
        <v>179</v>
      </c>
      <c r="B41" s="163"/>
      <c r="E41" s="163"/>
      <c r="H41" s="159"/>
      <c r="I41" s="159"/>
      <c r="J41" s="159"/>
      <c r="K41" s="159"/>
      <c r="L41" s="159"/>
      <c r="M41" s="159"/>
    </row>
    <row r="42" spans="2:13" ht="30">
      <c r="B42" s="195" t="s">
        <v>451</v>
      </c>
      <c r="H42" s="159"/>
      <c r="I42" s="159"/>
      <c r="J42" s="159"/>
      <c r="K42" s="159"/>
      <c r="L42" s="159"/>
      <c r="M42" s="159"/>
    </row>
    <row r="43" spans="1:13" ht="15">
      <c r="A43" s="222" t="s">
        <v>412</v>
      </c>
      <c r="B43" s="44"/>
      <c r="C43" s="144" t="s">
        <v>415</v>
      </c>
      <c r="H43" s="159"/>
      <c r="I43" s="159"/>
      <c r="J43" s="159"/>
      <c r="K43" s="159"/>
      <c r="L43" s="159"/>
      <c r="M43" s="159"/>
    </row>
    <row r="44" spans="1:13" ht="15">
      <c r="A44" s="222" t="s">
        <v>413</v>
      </c>
      <c r="B44" s="44"/>
      <c r="C44" s="144" t="s">
        <v>416</v>
      </c>
      <c r="H44" s="159"/>
      <c r="I44" s="159"/>
      <c r="J44" s="159"/>
      <c r="K44" s="159"/>
      <c r="L44" s="159"/>
      <c r="M44" s="159"/>
    </row>
    <row r="45" spans="1:13" ht="15">
      <c r="A45" s="222" t="s">
        <v>414</v>
      </c>
      <c r="B45" s="44"/>
      <c r="C45" s="144" t="s">
        <v>416</v>
      </c>
      <c r="H45" s="159"/>
      <c r="I45" s="159"/>
      <c r="J45" s="159"/>
      <c r="K45" s="159"/>
      <c r="L45" s="159"/>
      <c r="M45" s="159"/>
    </row>
    <row r="46" spans="8:13" ht="15">
      <c r="H46" s="159"/>
      <c r="I46" s="159"/>
      <c r="J46" s="159"/>
      <c r="K46" s="159"/>
      <c r="L46" s="159"/>
      <c r="M46" s="159"/>
    </row>
    <row r="47" spans="1:13" ht="15.75">
      <c r="A47" s="194" t="s">
        <v>208</v>
      </c>
      <c r="B47" s="191" t="s">
        <v>329</v>
      </c>
      <c r="H47" s="159"/>
      <c r="I47" s="159"/>
      <c r="J47" s="159"/>
      <c r="K47" s="159"/>
      <c r="L47" s="159"/>
      <c r="M47" s="159"/>
    </row>
    <row r="48" spans="1:13" ht="15">
      <c r="A48" s="222" t="s">
        <v>351</v>
      </c>
      <c r="B48" s="44"/>
      <c r="C48" s="144" t="s">
        <v>307</v>
      </c>
      <c r="H48" s="159"/>
      <c r="I48" s="159"/>
      <c r="J48" s="159"/>
      <c r="K48" s="159"/>
      <c r="L48" s="159"/>
      <c r="M48" s="159"/>
    </row>
    <row r="49" spans="1:13" ht="15">
      <c r="A49" s="222" t="s">
        <v>353</v>
      </c>
      <c r="B49" s="44"/>
      <c r="C49" s="144" t="s">
        <v>307</v>
      </c>
      <c r="H49" s="159"/>
      <c r="I49" s="159"/>
      <c r="J49" s="159"/>
      <c r="K49" s="159"/>
      <c r="L49" s="159"/>
      <c r="M49" s="159"/>
    </row>
    <row r="52" spans="1:2" ht="18.75">
      <c r="A52" s="153" t="s">
        <v>522</v>
      </c>
      <c r="B52" s="191" t="s">
        <v>330</v>
      </c>
    </row>
    <row r="53" spans="1:3" ht="15">
      <c r="A53" s="222" t="s">
        <v>211</v>
      </c>
      <c r="B53" s="44"/>
      <c r="C53" s="144" t="s">
        <v>212</v>
      </c>
    </row>
    <row r="54" spans="1:3" ht="15">
      <c r="A54" s="222" t="s">
        <v>308</v>
      </c>
      <c r="B54" s="44"/>
      <c r="C54" s="144" t="s">
        <v>212</v>
      </c>
    </row>
    <row r="55" spans="1:3" ht="15">
      <c r="A55" s="222" t="s">
        <v>305</v>
      </c>
      <c r="B55" s="44"/>
      <c r="C55" s="144" t="s">
        <v>212</v>
      </c>
    </row>
    <row r="56" spans="1:3" ht="15">
      <c r="A56" s="222" t="s">
        <v>306</v>
      </c>
      <c r="B56" s="44"/>
      <c r="C56" s="144" t="s">
        <v>307</v>
      </c>
    </row>
    <row r="59" spans="1:20" ht="37.5">
      <c r="A59" s="162" t="s">
        <v>428</v>
      </c>
      <c r="B59" s="191" t="s">
        <v>330</v>
      </c>
      <c r="D59" s="161"/>
      <c r="E59" s="159" t="s">
        <v>201</v>
      </c>
      <c r="F59" s="159" t="s">
        <v>498</v>
      </c>
      <c r="G59" s="159" t="s">
        <v>499</v>
      </c>
      <c r="H59" s="159"/>
      <c r="I59" s="161"/>
      <c r="J59" s="161"/>
      <c r="K59" s="161"/>
      <c r="L59" s="161"/>
      <c r="P59" s="161"/>
      <c r="Q59" s="161"/>
      <c r="R59" s="161"/>
      <c r="S59" s="161"/>
      <c r="T59" s="161"/>
    </row>
    <row r="60" spans="1:20" ht="15">
      <c r="A60" s="46" t="s">
        <v>201</v>
      </c>
      <c r="B60" s="44"/>
      <c r="C60" s="144" t="str">
        <f>IF(ISNUMBER(SEARCH("Electricity",A60)),$K$19,IF(ISNUMBER(SEARCH("Natural Gas in Therms",A60)),$K$20,IF(ISNUMBER(SEARCH("Natural Gas in 1,000 cubic feet (MCF)",A60)),$K$21,IF(ISNUMBER(SEARCH("Heating oil",A60)),$K$22,0))))</f>
        <v>kWh</v>
      </c>
      <c r="D60" s="161"/>
      <c r="E60" s="159">
        <f>IF(A60="Electricity",B60,0)</f>
        <v>0</v>
      </c>
      <c r="F60" s="159">
        <f>IF(A60="Natural Gas in Therms",B60,0)</f>
        <v>0</v>
      </c>
      <c r="G60" s="159">
        <f>IF(A60="Natural Gas in 1,000 cubic feet (MCF)",B60,0)</f>
        <v>0</v>
      </c>
      <c r="H60" s="159"/>
      <c r="I60" s="161"/>
      <c r="J60" s="161"/>
      <c r="K60" s="161"/>
      <c r="L60" s="161"/>
      <c r="P60" s="161"/>
      <c r="Q60" s="161"/>
      <c r="R60" s="161"/>
      <c r="S60" s="161"/>
      <c r="T60" s="161"/>
    </row>
    <row r="61" spans="1:20" ht="15">
      <c r="A61" s="46" t="s">
        <v>424</v>
      </c>
      <c r="B61" s="44"/>
      <c r="C61" s="144" t="str">
        <f>IF(ISNUMBER(SEARCH("Electricity",A61)),$K$19,IF(ISNUMBER(SEARCH("Natural Gas in Therms",A61)),$K$20,IF(ISNUMBER(SEARCH("Natural Gas in 1,000 cubic feet (MCF)",A61)),$K$21,IF(ISNUMBER(SEARCH("Heating oil",A61)),$K$22,0))))</f>
        <v>Therms</v>
      </c>
      <c r="D61" s="161"/>
      <c r="E61" s="159">
        <f>IF(A61="Electricity",B61,0)</f>
        <v>0</v>
      </c>
      <c r="F61" s="159">
        <f>IF(A61="Natural Gas in Therms",B61,0)</f>
        <v>0</v>
      </c>
      <c r="G61" s="159">
        <f>IF(A61="Natural Gas in 1,000 cubic feet (MCF)",B61,0)</f>
        <v>0</v>
      </c>
      <c r="H61" s="159"/>
      <c r="I61" s="161"/>
      <c r="J61" s="161"/>
      <c r="K61" s="161"/>
      <c r="L61" s="161"/>
      <c r="P61" s="161"/>
      <c r="Q61" s="161"/>
      <c r="R61" s="161"/>
      <c r="S61" s="161"/>
      <c r="T61" s="161"/>
    </row>
    <row r="62" spans="1:20" ht="15">
      <c r="A62" s="46" t="s">
        <v>425</v>
      </c>
      <c r="B62" s="44"/>
      <c r="C62" s="144" t="str">
        <f>IF(ISNUMBER(SEARCH("Electricity",A62)),$K$19,IF(ISNUMBER(SEARCH("Natural Gas in Therms",A62)),$K$20,IF(ISNUMBER(SEARCH("Natural Gas in 1,000 cubic feet (MCF)",A62)),$K$21,IF(ISNUMBER(SEARCH("Heating oil",A62)),$K$22,0))))</f>
        <v>MCF</v>
      </c>
      <c r="D62" s="161"/>
      <c r="E62" s="159">
        <f>IF(A62="Electricity",B62,0)</f>
        <v>0</v>
      </c>
      <c r="F62" s="159">
        <f>IF(A62="Natural Gas in Therms",B62,0)</f>
        <v>0</v>
      </c>
      <c r="G62" s="159">
        <f>IF(A62="Natural Gas in 1,000 cubic feet (MCF)",B62,0)</f>
        <v>0</v>
      </c>
      <c r="H62" s="159"/>
      <c r="I62" s="161"/>
      <c r="J62" s="161"/>
      <c r="K62" s="161"/>
      <c r="L62" s="161"/>
      <c r="P62" s="161"/>
      <c r="Q62" s="161"/>
      <c r="R62" s="161"/>
      <c r="S62" s="161"/>
      <c r="T62" s="161"/>
    </row>
    <row r="63" spans="5:20" ht="15">
      <c r="E63" s="159">
        <f>SUM(E60:E62)</f>
        <v>0</v>
      </c>
      <c r="F63" s="159">
        <f>SUM(F60:F62)</f>
        <v>0</v>
      </c>
      <c r="G63" s="159">
        <f>SUM(G60:G62)</f>
        <v>0</v>
      </c>
      <c r="H63" s="159"/>
      <c r="I63" s="161"/>
      <c r="J63" s="161"/>
      <c r="K63" s="161"/>
      <c r="L63" s="161"/>
      <c r="P63" s="161"/>
      <c r="Q63" s="161"/>
      <c r="R63" s="161"/>
      <c r="S63" s="161"/>
      <c r="T63" s="161"/>
    </row>
    <row r="64" spans="4:20" ht="15">
      <c r="D64" s="161"/>
      <c r="E64" s="159"/>
      <c r="F64" s="159"/>
      <c r="G64" s="159"/>
      <c r="H64" s="159"/>
      <c r="I64" s="161"/>
      <c r="J64" s="161"/>
      <c r="K64" s="161"/>
      <c r="L64" s="161"/>
      <c r="P64" s="161"/>
      <c r="Q64" s="161"/>
      <c r="R64" s="161"/>
      <c r="S64" s="161"/>
      <c r="T64" s="161"/>
    </row>
    <row r="65" spans="4:20" ht="15"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</row>
    <row r="66" spans="4:20" ht="15"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</row>
    <row r="67" spans="4:20" ht="15"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</row>
    <row r="68" spans="4:20" ht="15">
      <c r="D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</row>
  </sheetData>
  <sheetProtection password="C442" sheet="1" selectLockedCells="1"/>
  <dataValidations count="6">
    <dataValidation allowBlank="1" showInputMessage="1" showErrorMessage="1" promptTitle="Yes of No" prompt="Y&#10;N" sqref="A6:B7"/>
    <dataValidation type="list" allowBlank="1" showInputMessage="1" showErrorMessage="1" sqref="C3:D3">
      <formula1>$F$3:$F$5</formula1>
    </dataValidation>
    <dataValidation type="list" allowBlank="1" showInputMessage="1" showErrorMessage="1" sqref="E13:E29 E31:E38">
      <formula1>$J$10:$J$12</formula1>
    </dataValidation>
    <dataValidation type="list" allowBlank="1" showInputMessage="1" showErrorMessage="1" sqref="E42:E44">
      <formula1>$J$14:$J$17</formula1>
    </dataValidation>
    <dataValidation type="list" allowBlank="1" showInputMessage="1" showErrorMessage="1" sqref="A60:A62">
      <formula1>$J$19:$J$22</formula1>
    </dataValidation>
    <dataValidation type="list" allowBlank="1" showInputMessage="1" showErrorMessage="1" sqref="D14:D19 F35:F38">
      <formula1>$J$25:$J$27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F64"/>
  <sheetViews>
    <sheetView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7" sqref="A27:A28"/>
    </sheetView>
  </sheetViews>
  <sheetFormatPr defaultColWidth="11.421875" defaultRowHeight="15"/>
  <cols>
    <col min="1" max="1" width="48.7109375" style="23" customWidth="1"/>
    <col min="2" max="2" width="11.421875" style="23" customWidth="1"/>
    <col min="3" max="4" width="25.421875" style="23" customWidth="1"/>
    <col min="5" max="5" width="25.140625" style="23" customWidth="1"/>
    <col min="6" max="6" width="35.8515625" style="23" customWidth="1"/>
    <col min="7" max="16384" width="11.421875" style="23" customWidth="1"/>
  </cols>
  <sheetData>
    <row r="1" ht="26.25">
      <c r="A1" s="100" t="s">
        <v>474</v>
      </c>
    </row>
    <row r="2" ht="18.75">
      <c r="A2" s="97"/>
    </row>
    <row r="3" ht="75" customHeight="1">
      <c r="A3" s="98" t="s">
        <v>198</v>
      </c>
    </row>
    <row r="4" ht="79.5" customHeight="1">
      <c r="A4" s="98" t="s">
        <v>127</v>
      </c>
    </row>
    <row r="5" ht="43.5" customHeight="1"/>
    <row r="6" s="72" customFormat="1" ht="18.75">
      <c r="C6" s="71" t="s">
        <v>476</v>
      </c>
    </row>
    <row r="7" spans="1:6" s="66" customFormat="1" ht="58.5">
      <c r="A7" s="127" t="s">
        <v>130</v>
      </c>
      <c r="B7" s="103"/>
      <c r="C7" s="205" t="s">
        <v>504</v>
      </c>
      <c r="D7" s="205" t="s">
        <v>505</v>
      </c>
      <c r="E7" s="205" t="s">
        <v>506</v>
      </c>
      <c r="F7" s="205" t="s">
        <v>507</v>
      </c>
    </row>
    <row r="8" spans="1:6" ht="18.75">
      <c r="A8" s="127"/>
      <c r="B8" s="103"/>
      <c r="C8" s="124"/>
      <c r="D8" s="124"/>
      <c r="E8" s="124"/>
      <c r="F8" s="124"/>
    </row>
    <row r="9" spans="1:6" ht="18.75">
      <c r="A9" s="124" t="s">
        <v>429</v>
      </c>
      <c r="B9" s="103"/>
      <c r="C9" s="103"/>
      <c r="D9" s="103"/>
      <c r="E9" s="103"/>
      <c r="F9" s="103"/>
    </row>
    <row r="10" spans="1:6" ht="15">
      <c r="A10" s="23" t="s">
        <v>129</v>
      </c>
      <c r="C10" s="75">
        <f>Packaging!H39+Packaging!I39</f>
        <v>0</v>
      </c>
      <c r="D10" s="75">
        <f>Packaging!L39</f>
        <v>0</v>
      </c>
      <c r="E10" s="75">
        <f>Packaging!N39</f>
        <v>0</v>
      </c>
      <c r="F10" s="75">
        <f>C10+D10/1000*25+E10/1000*298</f>
        <v>0</v>
      </c>
    </row>
    <row r="11" spans="1:6" ht="15">
      <c r="A11" s="23" t="s">
        <v>443</v>
      </c>
      <c r="C11" s="75">
        <f>Packaging!H47+Packaging!I47</f>
        <v>0</v>
      </c>
      <c r="D11" s="75">
        <f>Packaging!L47</f>
        <v>0</v>
      </c>
      <c r="E11" s="75">
        <f>Packaging!N47</f>
        <v>0</v>
      </c>
      <c r="F11" s="75">
        <f>C11+D11/1000*25+E11/1000*298</f>
        <v>0</v>
      </c>
    </row>
    <row r="12" spans="1:6" ht="15">
      <c r="A12" s="23" t="s">
        <v>209</v>
      </c>
      <c r="C12" s="75">
        <f>Packaging!H56+Packaging!I56</f>
        <v>0</v>
      </c>
      <c r="D12" s="75">
        <f>Packaging!L56</f>
        <v>0</v>
      </c>
      <c r="E12" s="75">
        <f>Packaging!N56</f>
        <v>0</v>
      </c>
      <c r="F12" s="75">
        <f>C12+D12/1000*25+E12/1000*298</f>
        <v>0</v>
      </c>
    </row>
    <row r="13" spans="1:6" s="50" customFormat="1" ht="15.75">
      <c r="A13" s="123" t="s">
        <v>131</v>
      </c>
      <c r="B13" s="108"/>
      <c r="C13" s="107">
        <f>SUM(C10:C12)</f>
        <v>0</v>
      </c>
      <c r="D13" s="107">
        <f>SUM(D10:D12)</f>
        <v>0</v>
      </c>
      <c r="E13" s="107">
        <f>SUM(E10:E12)</f>
        <v>0</v>
      </c>
      <c r="F13" s="107">
        <f>SUM(F10:F12)</f>
        <v>0</v>
      </c>
    </row>
    <row r="14" spans="1:6" ht="15">
      <c r="A14" s="103"/>
      <c r="B14" s="103"/>
      <c r="C14" s="206"/>
      <c r="D14" s="206"/>
      <c r="E14" s="206"/>
      <c r="F14" s="206"/>
    </row>
    <row r="15" spans="1:6" ht="18.75">
      <c r="A15" s="124" t="s">
        <v>522</v>
      </c>
      <c r="B15" s="103"/>
      <c r="C15" s="206"/>
      <c r="D15" s="206"/>
      <c r="E15" s="206"/>
      <c r="F15" s="206"/>
    </row>
    <row r="16" spans="1:6" s="50" customFormat="1" ht="15.75">
      <c r="A16" s="123" t="s">
        <v>522</v>
      </c>
      <c r="B16" s="108"/>
      <c r="C16" s="107">
        <f>Packaging!H63+Packaging!I63</f>
        <v>0</v>
      </c>
      <c r="D16" s="107">
        <f>Packaging!L63</f>
        <v>0</v>
      </c>
      <c r="E16" s="107">
        <f>Packaging!N63</f>
        <v>0</v>
      </c>
      <c r="F16" s="207">
        <f>C16+D16/1000*25+E16/1000*298</f>
        <v>0</v>
      </c>
    </row>
    <row r="17" spans="1:6" ht="15">
      <c r="A17" s="103"/>
      <c r="B17" s="103"/>
      <c r="C17" s="206"/>
      <c r="D17" s="206"/>
      <c r="E17" s="206"/>
      <c r="F17" s="206"/>
    </row>
    <row r="18" spans="1:6" s="53" customFormat="1" ht="18.75">
      <c r="A18" s="125" t="s">
        <v>147</v>
      </c>
      <c r="B18" s="125"/>
      <c r="C18" s="208">
        <f>C13+C16</f>
        <v>0</v>
      </c>
      <c r="D18" s="208">
        <f>D13+D16</f>
        <v>0</v>
      </c>
      <c r="E18" s="208">
        <f>E13+E16</f>
        <v>0</v>
      </c>
      <c r="F18" s="208">
        <f>C18+D18/1000*25+E18/1000*298</f>
        <v>0</v>
      </c>
    </row>
    <row r="19" spans="3:6" s="101" customFormat="1" ht="1.5" customHeight="1">
      <c r="C19" s="102"/>
      <c r="D19" s="102"/>
      <c r="E19" s="102"/>
      <c r="F19" s="102"/>
    </row>
    <row r="20" spans="1:6" ht="18.75">
      <c r="A20" s="127" t="s">
        <v>148</v>
      </c>
      <c r="C20" s="60"/>
      <c r="D20" s="60"/>
      <c r="E20" s="60"/>
      <c r="F20" s="60"/>
    </row>
    <row r="21" spans="1:6" ht="15">
      <c r="A21" s="23" t="s">
        <v>149</v>
      </c>
      <c r="C21" s="75">
        <f>Packaging!H4+Packaging!I4+Packaging!H5+Packaging!I5</f>
        <v>0</v>
      </c>
      <c r="D21" s="75">
        <f>(Packaging!L4+Packaging!L5)</f>
        <v>0</v>
      </c>
      <c r="E21" s="75">
        <f>(Packaging!N4+Packaging!N5)</f>
        <v>0</v>
      </c>
      <c r="F21" s="75">
        <f>C21+D21/1000*25+E21/1000*298</f>
        <v>0</v>
      </c>
    </row>
    <row r="22" spans="1:6" ht="15">
      <c r="A22" s="23" t="s">
        <v>201</v>
      </c>
      <c r="C22" s="75">
        <f>Packaging!H3+Packaging!I3</f>
        <v>0</v>
      </c>
      <c r="D22" s="75">
        <f>Packaging!L3</f>
        <v>0</v>
      </c>
      <c r="E22" s="75">
        <f>Packaging!N3</f>
        <v>0</v>
      </c>
      <c r="F22" s="75">
        <f>C22+D22/1000*25+E22/1000*298</f>
        <v>0</v>
      </c>
    </row>
    <row r="23" spans="1:6" s="50" customFormat="1" ht="12.75" customHeight="1">
      <c r="A23" s="125" t="s">
        <v>475</v>
      </c>
      <c r="B23" s="126"/>
      <c r="C23" s="209">
        <f>SUM(C21:C22)</f>
        <v>0</v>
      </c>
      <c r="D23" s="209">
        <f>SUM(D21:D22)</f>
        <v>0</v>
      </c>
      <c r="E23" s="209">
        <f>SUM(E21:E22)</f>
        <v>0</v>
      </c>
      <c r="F23" s="209">
        <f>C23+D23/1000*25+E23/1000*298</f>
        <v>0</v>
      </c>
    </row>
    <row r="24" spans="3:6" ht="15">
      <c r="C24" s="60"/>
      <c r="D24" s="60"/>
      <c r="E24" s="60"/>
      <c r="F24" s="60"/>
    </row>
    <row r="25" spans="3:6" ht="15">
      <c r="C25" s="60"/>
      <c r="D25" s="60"/>
      <c r="E25" s="60"/>
      <c r="F25" s="60"/>
    </row>
    <row r="26" spans="1:6" s="57" customFormat="1" ht="23.25">
      <c r="A26" s="128" t="s">
        <v>477</v>
      </c>
      <c r="B26" s="129"/>
      <c r="C26" s="210">
        <f>C23+C16+C13</f>
        <v>0</v>
      </c>
      <c r="D26" s="210">
        <f>D23+D16+D13</f>
        <v>0</v>
      </c>
      <c r="E26" s="210">
        <f>E23+E16+E13</f>
        <v>0</v>
      </c>
      <c r="F26" s="210">
        <f>C26+D26/1000*25+E26/1000*298</f>
        <v>0</v>
      </c>
    </row>
    <row r="27" spans="1:6" s="48" customFormat="1" ht="18.75">
      <c r="A27" s="130" t="s">
        <v>478</v>
      </c>
      <c r="B27" s="131"/>
      <c r="C27" s="211" t="e">
        <f>C26/('Packaging - User Input'!$B$8*0.4536)</f>
        <v>#DIV/0!</v>
      </c>
      <c r="D27" s="211" t="e">
        <f>D26/('Packaging - User Input'!$B$8*0.4536)</f>
        <v>#DIV/0!</v>
      </c>
      <c r="E27" s="211" t="e">
        <f>E26/('Packaging - User Input'!$B$8*0.4536)</f>
        <v>#DIV/0!</v>
      </c>
      <c r="F27" s="210" t="e">
        <f>C27+D27/1000*25+E27/1000*298</f>
        <v>#DIV/0!</v>
      </c>
    </row>
    <row r="28" spans="1:6" ht="18.75">
      <c r="A28" s="132" t="s">
        <v>479</v>
      </c>
      <c r="B28" s="133"/>
      <c r="C28" s="211" t="e">
        <f>C27*0.4536</f>
        <v>#DIV/0!</v>
      </c>
      <c r="D28" s="211" t="e">
        <f>D27*0.4536</f>
        <v>#DIV/0!</v>
      </c>
      <c r="E28" s="211" t="e">
        <f>E27*0.4536</f>
        <v>#DIV/0!</v>
      </c>
      <c r="F28" s="210" t="e">
        <f>C28+D28/1000*25+E28/1000*298</f>
        <v>#DIV/0!</v>
      </c>
    </row>
    <row r="30" spans="3:4" ht="15">
      <c r="C30" s="212" t="s">
        <v>429</v>
      </c>
      <c r="D30" s="213">
        <f>F13</f>
        <v>0</v>
      </c>
    </row>
    <row r="31" spans="3:4" ht="15">
      <c r="C31" s="212" t="s">
        <v>309</v>
      </c>
      <c r="D31" s="213">
        <f>F16</f>
        <v>0</v>
      </c>
    </row>
    <row r="32" spans="3:4" ht="15">
      <c r="C32" s="212" t="s">
        <v>55</v>
      </c>
      <c r="D32" s="213">
        <f>F23</f>
        <v>0</v>
      </c>
    </row>
    <row r="63" ht="15">
      <c r="D63" s="49"/>
    </row>
    <row r="64" ht="15">
      <c r="D64" s="49"/>
    </row>
  </sheetData>
  <sheetProtection/>
  <printOptions/>
  <pageMargins left="0.75" right="0.75" top="1" bottom="1" header="0.5" footer="0.5"/>
  <pageSetup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4:F16"/>
  <sheetViews>
    <sheetView zoomScalePageLayoutView="0" workbookViewId="0" topLeftCell="A1">
      <selection activeCell="F22" sqref="F22"/>
    </sheetView>
  </sheetViews>
  <sheetFormatPr defaultColWidth="10.7109375" defaultRowHeight="15"/>
  <cols>
    <col min="1" max="1" width="60.7109375" style="23" bestFit="1" customWidth="1"/>
    <col min="2" max="5" width="3.8515625" style="23" customWidth="1"/>
    <col min="6" max="6" width="47.00390625" style="23" bestFit="1" customWidth="1"/>
    <col min="7" max="16384" width="10.7109375" style="23" customWidth="1"/>
  </cols>
  <sheetData>
    <row r="4" spans="1:6" ht="46.5">
      <c r="A4" s="134" t="s">
        <v>440</v>
      </c>
      <c r="B4" s="103"/>
      <c r="C4" s="103"/>
      <c r="D4" s="103"/>
      <c r="E4" s="103"/>
      <c r="F4" s="103"/>
    </row>
    <row r="5" spans="2:6" ht="20.25">
      <c r="B5" s="103"/>
      <c r="C5" s="135"/>
      <c r="D5" s="135"/>
      <c r="E5" s="135"/>
      <c r="F5" s="135" t="s">
        <v>485</v>
      </c>
    </row>
    <row r="6" spans="1:6" s="38" customFormat="1" ht="18.75">
      <c r="A6" s="127" t="s">
        <v>45</v>
      </c>
      <c r="B6" s="127"/>
      <c r="C6" s="136"/>
      <c r="D6" s="136"/>
      <c r="E6" s="136"/>
      <c r="F6" s="136" t="e">
        <f>'Honey Production - Results'!F65</f>
        <v>#DIV/0!</v>
      </c>
    </row>
    <row r="7" spans="1:6" s="38" customFormat="1" ht="18.75">
      <c r="A7" s="127" t="s">
        <v>10</v>
      </c>
      <c r="B7" s="127"/>
      <c r="C7" s="136"/>
      <c r="D7" s="136"/>
      <c r="E7" s="136"/>
      <c r="F7" s="136" t="e">
        <f>'Transport of Honey to Packer'!F18</f>
        <v>#DIV/0!</v>
      </c>
    </row>
    <row r="8" spans="1:6" s="38" customFormat="1" ht="18.75">
      <c r="A8" s="127"/>
      <c r="B8" s="127"/>
      <c r="C8" s="136"/>
      <c r="D8" s="136"/>
      <c r="E8" s="136"/>
      <c r="F8" s="136"/>
    </row>
    <row r="9" spans="1:6" ht="15">
      <c r="A9" s="103"/>
      <c r="B9" s="103"/>
      <c r="C9" s="121"/>
      <c r="D9" s="121"/>
      <c r="E9" s="121"/>
      <c r="F9" s="121"/>
    </row>
    <row r="10" spans="1:6" s="67" customFormat="1" ht="21">
      <c r="A10" s="137" t="s">
        <v>47</v>
      </c>
      <c r="B10" s="137"/>
      <c r="C10" s="138"/>
      <c r="D10" s="138"/>
      <c r="E10" s="138"/>
      <c r="F10" s="138" t="e">
        <f>SUM(F6:F8)</f>
        <v>#DIV/0!</v>
      </c>
    </row>
    <row r="11" spans="1:6" ht="15">
      <c r="A11" s="103"/>
      <c r="B11" s="103"/>
      <c r="C11" s="103"/>
      <c r="D11" s="103"/>
      <c r="E11" s="103"/>
      <c r="F11" s="103"/>
    </row>
    <row r="14" ht="15">
      <c r="D14" s="49"/>
    </row>
    <row r="15" spans="4:6" ht="15">
      <c r="D15" s="49"/>
      <c r="F15" s="23" t="s">
        <v>493</v>
      </c>
    </row>
    <row r="16" ht="15">
      <c r="D16" s="4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4:F16"/>
  <sheetViews>
    <sheetView zoomScalePageLayoutView="0" workbookViewId="0" topLeftCell="A4">
      <selection activeCell="F28" sqref="F28"/>
    </sheetView>
  </sheetViews>
  <sheetFormatPr defaultColWidth="10.7109375" defaultRowHeight="15"/>
  <cols>
    <col min="1" max="1" width="60.7109375" style="23" bestFit="1" customWidth="1"/>
    <col min="2" max="5" width="3.8515625" style="23" customWidth="1"/>
    <col min="6" max="6" width="47.00390625" style="23" bestFit="1" customWidth="1"/>
    <col min="7" max="16384" width="10.7109375" style="23" customWidth="1"/>
  </cols>
  <sheetData>
    <row r="4" spans="1:6" ht="46.5">
      <c r="A4" s="134" t="s">
        <v>440</v>
      </c>
      <c r="B4" s="103"/>
      <c r="C4" s="103"/>
      <c r="D4" s="103"/>
      <c r="E4" s="103"/>
      <c r="F4" s="103"/>
    </row>
    <row r="5" spans="2:6" ht="20.25">
      <c r="B5" s="103"/>
      <c r="C5" s="135"/>
      <c r="D5" s="135"/>
      <c r="E5" s="135"/>
      <c r="F5" s="135" t="s">
        <v>485</v>
      </c>
    </row>
    <row r="6" spans="1:6" s="38" customFormat="1" ht="18.75">
      <c r="A6" s="127" t="s">
        <v>521</v>
      </c>
      <c r="B6" s="127"/>
      <c r="C6" s="136"/>
      <c r="D6" s="136"/>
      <c r="E6" s="136"/>
      <c r="F6" s="136" t="e">
        <f>'Transport of Honey to Packer'!F18</f>
        <v>#DIV/0!</v>
      </c>
    </row>
    <row r="7" spans="1:6" s="38" customFormat="1" ht="18.75">
      <c r="A7" s="127" t="s">
        <v>496</v>
      </c>
      <c r="B7" s="127"/>
      <c r="C7" s="136"/>
      <c r="D7" s="136"/>
      <c r="E7" s="136"/>
      <c r="F7" s="136" t="e">
        <f>'Packaging - Results'!F27</f>
        <v>#DIV/0!</v>
      </c>
    </row>
    <row r="8" spans="1:6" s="38" customFormat="1" ht="18.75">
      <c r="A8" s="127"/>
      <c r="B8" s="127"/>
      <c r="C8" s="136"/>
      <c r="D8" s="136"/>
      <c r="E8" s="136"/>
      <c r="F8" s="136"/>
    </row>
    <row r="9" spans="1:6" ht="15">
      <c r="A9" s="103"/>
      <c r="B9" s="103"/>
      <c r="C9" s="121"/>
      <c r="D9" s="121"/>
      <c r="E9" s="121"/>
      <c r="F9" s="121"/>
    </row>
    <row r="10" spans="1:6" s="67" customFormat="1" ht="21">
      <c r="A10" s="137" t="s">
        <v>47</v>
      </c>
      <c r="B10" s="137"/>
      <c r="C10" s="138"/>
      <c r="D10" s="138"/>
      <c r="E10" s="138"/>
      <c r="F10" s="138" t="e">
        <f>SUM(F6:F8)</f>
        <v>#DIV/0!</v>
      </c>
    </row>
    <row r="11" spans="1:6" ht="15">
      <c r="A11" s="103"/>
      <c r="B11" s="103"/>
      <c r="C11" s="103"/>
      <c r="D11" s="103"/>
      <c r="E11" s="103"/>
      <c r="F11" s="103"/>
    </row>
    <row r="14" ht="15">
      <c r="D14" s="49"/>
    </row>
    <row r="15" spans="4:6" ht="15">
      <c r="D15" s="49"/>
      <c r="F15" s="23" t="s">
        <v>493</v>
      </c>
    </row>
    <row r="16" ht="15">
      <c r="D16" s="4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4:F16"/>
  <sheetViews>
    <sheetView zoomScalePageLayoutView="0" workbookViewId="0" topLeftCell="A1">
      <selection activeCell="F6" sqref="F6"/>
    </sheetView>
  </sheetViews>
  <sheetFormatPr defaultColWidth="10.7109375" defaultRowHeight="15"/>
  <cols>
    <col min="1" max="1" width="60.7109375" style="23" bestFit="1" customWidth="1"/>
    <col min="2" max="5" width="3.8515625" style="23" customWidth="1"/>
    <col min="6" max="6" width="52.00390625" style="23" customWidth="1"/>
    <col min="7" max="16384" width="10.7109375" style="23" customWidth="1"/>
  </cols>
  <sheetData>
    <row r="4" spans="1:6" ht="15">
      <c r="A4" s="103"/>
      <c r="B4" s="103"/>
      <c r="C4" s="103"/>
      <c r="D4" s="103"/>
      <c r="E4" s="103"/>
      <c r="F4" s="103"/>
    </row>
    <row r="5" spans="1:6" ht="46.5">
      <c r="A5" s="134" t="s">
        <v>440</v>
      </c>
      <c r="B5" s="103"/>
      <c r="C5" s="135"/>
      <c r="D5" s="135"/>
      <c r="E5" s="135"/>
      <c r="F5" s="135" t="s">
        <v>485</v>
      </c>
    </row>
    <row r="6" spans="1:6" s="38" customFormat="1" ht="18.75">
      <c r="A6" s="127" t="s">
        <v>45</v>
      </c>
      <c r="B6" s="127"/>
      <c r="C6" s="136"/>
      <c r="D6" s="136"/>
      <c r="E6" s="136"/>
      <c r="F6" s="136" t="e">
        <f>'Honey Production - Results'!F65</f>
        <v>#DIV/0!</v>
      </c>
    </row>
    <row r="7" spans="1:6" s="38" customFormat="1" ht="18.75">
      <c r="A7" s="127" t="s">
        <v>10</v>
      </c>
      <c r="B7" s="127"/>
      <c r="C7" s="136"/>
      <c r="D7" s="136"/>
      <c r="E7" s="136"/>
      <c r="F7" s="136" t="e">
        <f>'Transport of Honey to Packer'!F18</f>
        <v>#DIV/0!</v>
      </c>
    </row>
    <row r="8" spans="1:6" s="38" customFormat="1" ht="18.75">
      <c r="A8" s="127" t="s">
        <v>46</v>
      </c>
      <c r="B8" s="127"/>
      <c r="C8" s="136"/>
      <c r="D8" s="136"/>
      <c r="E8" s="136"/>
      <c r="F8" s="136" t="e">
        <f>'Packaging - Results'!F27</f>
        <v>#DIV/0!</v>
      </c>
    </row>
    <row r="9" spans="1:6" ht="15">
      <c r="A9" s="103"/>
      <c r="B9" s="103"/>
      <c r="C9" s="121"/>
      <c r="D9" s="121"/>
      <c r="E9" s="121"/>
      <c r="F9" s="121"/>
    </row>
    <row r="10" spans="1:6" s="67" customFormat="1" ht="21">
      <c r="A10" s="137" t="s">
        <v>47</v>
      </c>
      <c r="B10" s="137"/>
      <c r="C10" s="138"/>
      <c r="D10" s="138"/>
      <c r="E10" s="138"/>
      <c r="F10" s="138" t="e">
        <f>SUM(F6:F8)</f>
        <v>#DIV/0!</v>
      </c>
    </row>
    <row r="11" spans="1:6" ht="15">
      <c r="A11" s="103"/>
      <c r="B11" s="103"/>
      <c r="C11" s="103"/>
      <c r="D11" s="103"/>
      <c r="E11" s="103"/>
      <c r="F11" s="103"/>
    </row>
    <row r="14" spans="3:4" ht="15">
      <c r="C14" s="23" t="s">
        <v>229</v>
      </c>
      <c r="D14" s="49" t="e">
        <f>F6</f>
        <v>#DIV/0!</v>
      </c>
    </row>
    <row r="15" spans="3:4" ht="15">
      <c r="C15" s="23" t="s">
        <v>11</v>
      </c>
      <c r="D15" s="49" t="e">
        <f>F7</f>
        <v>#DIV/0!</v>
      </c>
    </row>
    <row r="16" spans="3:4" ht="15">
      <c r="C16" s="23" t="s">
        <v>44</v>
      </c>
      <c r="D16" s="49" t="e">
        <f>F8</f>
        <v>#DIV/0!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2015-06-03T20:49:56Z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